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295" windowHeight="4380" tabRatio="696" firstSheet="2" activeTab="9"/>
  </bookViews>
  <sheets>
    <sheet name="แบบสรุปราคากลาง" sheetId="24" r:id="rId1"/>
    <sheet name="ค่าวัสดุและดำเนินการ" sheetId="1" r:id="rId2"/>
    <sheet name="บ่อพักน้ำ" sheetId="12" r:id="rId3"/>
    <sheet name="ผิวทางคอนกรีตผสมเสร็จ" sheetId="23" r:id="rId4"/>
    <sheet name="คอนกรีต" sheetId="18" r:id="rId5"/>
    <sheet name="รอยต่อ" sheetId="16" r:id="rId6"/>
    <sheet name="ท่อ" sheetId="15" r:id="rId7"/>
    <sheet name="ทรายหยาบรองใต้ผิวคอนกรีต" sheetId="20" r:id="rId8"/>
    <sheet name="แบบหล่อคอนกรีต" sheetId="21" r:id="rId9"/>
    <sheet name="เสนอราคา" sheetId="25" r:id="rId10"/>
  </sheets>
  <definedNames>
    <definedName name="_xlnm.Print_Area" localSheetId="4">คอนกรีต!$A$1:$J$66</definedName>
    <definedName name="_xlnm.Print_Area" localSheetId="1">ค่าวัสดุและดำเนินการ!$A$1:$L$36</definedName>
    <definedName name="_xlnm.Print_Area" localSheetId="7">ทรายหยาบรองใต้ผิวคอนกรีต!$A$1:$J$47</definedName>
    <definedName name="_xlnm.Print_Area" localSheetId="6">ท่อ!$A$1:$O$27</definedName>
    <definedName name="_xlnm.Print_Area" localSheetId="2">บ่อพักน้ำ!$A$1:$O$37</definedName>
    <definedName name="_xlnm.Print_Area" localSheetId="0">แบบสรุปราคากลาง!$A$1:$N$70</definedName>
    <definedName name="_xlnm.Print_Area" localSheetId="8">แบบหล่อคอนกรีต!$A$1:$H$40</definedName>
    <definedName name="_xlnm.Print_Area" localSheetId="3">ผิวทางคอนกรีตผสมเสร็จ!$A$1:$Q$57</definedName>
    <definedName name="_xlnm.Print_Area" localSheetId="5">รอยต่อ!$A$1:$O$31</definedName>
    <definedName name="_xlnm.Print_Area" localSheetId="9">เสนอราคา!$A$1:$N$51</definedName>
    <definedName name="_xlnm.Print_Titles" localSheetId="0">แบบสรุปราคากลาง!$1:$9</definedName>
    <definedName name="_xlnm.Print_Titles" localSheetId="9">เสนอราคา!#REF!</definedName>
  </definedNames>
  <calcPr calcId="144525"/>
  <fileRecoveryPr autoRecover="0"/>
</workbook>
</file>

<file path=xl/calcChain.xml><?xml version="1.0" encoding="utf-8"?>
<calcChain xmlns="http://schemas.openxmlformats.org/spreadsheetml/2006/main">
  <c r="G8" i="25" l="1"/>
  <c r="A8" i="25"/>
  <c r="G7" i="25"/>
  <c r="A7" i="25"/>
  <c r="G6" i="25"/>
  <c r="A6" i="25"/>
  <c r="A5" i="25"/>
  <c r="A4" i="25"/>
  <c r="J3" i="25"/>
  <c r="A3" i="25"/>
  <c r="A2" i="25"/>
  <c r="N34" i="24" l="1"/>
  <c r="I70" i="24" l="1"/>
  <c r="I69" i="24"/>
  <c r="B70" i="24"/>
  <c r="B69" i="24"/>
  <c r="I66" i="24"/>
  <c r="I65" i="24"/>
  <c r="B66" i="24"/>
  <c r="B65" i="24"/>
  <c r="E62" i="24"/>
  <c r="E61" i="24"/>
  <c r="L15" i="24" l="1"/>
  <c r="M15" i="24" s="1"/>
  <c r="J15" i="24"/>
  <c r="N15" i="24" l="1"/>
  <c r="J3" i="24"/>
  <c r="F18" i="12" l="1"/>
  <c r="F5" i="12"/>
  <c r="I19" i="12"/>
  <c r="N19" i="12" s="1"/>
  <c r="I18" i="12"/>
  <c r="I16" i="12"/>
  <c r="N16" i="12" s="1"/>
  <c r="N21" i="12"/>
  <c r="I6" i="12"/>
  <c r="N6" i="12" s="1"/>
  <c r="I5" i="12"/>
  <c r="K14" i="1"/>
  <c r="I4" i="12" s="1"/>
  <c r="N4" i="12" s="1"/>
  <c r="I3" i="12"/>
  <c r="N3" i="12" s="1"/>
  <c r="N12" i="12"/>
  <c r="N10" i="12"/>
  <c r="N9" i="12"/>
  <c r="N8" i="12"/>
  <c r="I17" i="12" l="1"/>
  <c r="N17" i="12" s="1"/>
  <c r="N5" i="12"/>
  <c r="N18" i="12"/>
  <c r="L31" i="24" l="1"/>
  <c r="L29" i="24"/>
  <c r="N7" i="15" l="1"/>
  <c r="I15" i="15"/>
  <c r="C3" i="15" l="1"/>
  <c r="A5" i="24"/>
  <c r="G8" i="24" l="1"/>
  <c r="G7" i="24"/>
  <c r="A8" i="24"/>
  <c r="A7" i="24"/>
  <c r="H27" i="24" l="1"/>
  <c r="L27" i="24"/>
  <c r="L25" i="24"/>
  <c r="L24" i="24"/>
  <c r="J3" i="16"/>
  <c r="M27" i="24" l="1"/>
  <c r="J27" i="24"/>
  <c r="N27" i="24" s="1"/>
  <c r="E5" i="23" l="1"/>
  <c r="P12" i="23"/>
  <c r="H11" i="23"/>
  <c r="P11" i="23" s="1"/>
  <c r="F11" i="23"/>
  <c r="E11" i="23"/>
  <c r="H10" i="23"/>
  <c r="P10" i="23" s="1"/>
  <c r="H7" i="23"/>
  <c r="P4" i="23"/>
  <c r="K3" i="23"/>
  <c r="P3" i="23" s="1"/>
  <c r="P2" i="23"/>
  <c r="P6" i="23" s="1"/>
  <c r="K30" i="1"/>
  <c r="K29" i="1"/>
  <c r="K16" i="1"/>
  <c r="K18" i="1"/>
  <c r="I7" i="12" l="1"/>
  <c r="N7" i="12" s="1"/>
  <c r="I20" i="12"/>
  <c r="N20" i="12" s="1"/>
  <c r="N22" i="12" s="1"/>
  <c r="G25" i="12" s="1"/>
  <c r="P5" i="23"/>
  <c r="H8" i="23" s="1"/>
  <c r="H17" i="23"/>
  <c r="H15" i="23"/>
  <c r="P15" i="23" s="1"/>
  <c r="H13" i="23"/>
  <c r="P13" i="23" s="1"/>
  <c r="H14" i="23"/>
  <c r="P14" i="23" s="1"/>
  <c r="E7" i="23"/>
  <c r="P7" i="23" s="1"/>
  <c r="E8" i="23" l="1"/>
  <c r="P8" i="23" s="1"/>
  <c r="J9" i="23"/>
  <c r="P9" i="23" s="1"/>
  <c r="P16" i="23" l="1"/>
  <c r="E17" i="23" s="1"/>
  <c r="P17" i="23" s="1"/>
  <c r="P18" i="23" s="1"/>
  <c r="G6" i="24" l="1"/>
  <c r="A6" i="24"/>
  <c r="A4" i="24"/>
  <c r="A3" i="24"/>
  <c r="A2" i="24"/>
  <c r="L23" i="24"/>
  <c r="L22" i="24"/>
  <c r="L20" i="24"/>
  <c r="L18" i="24"/>
  <c r="L17" i="24"/>
  <c r="M17" i="24" s="1"/>
  <c r="J17" i="24"/>
  <c r="L13" i="24"/>
  <c r="M13" i="24" s="1"/>
  <c r="J13" i="24"/>
  <c r="N17" i="24" l="1"/>
  <c r="N13" i="24"/>
  <c r="F50" i="18"/>
  <c r="G50" i="18"/>
  <c r="J50" i="18"/>
  <c r="I50" i="18"/>
  <c r="K34" i="1" l="1"/>
  <c r="K33" i="1"/>
  <c r="K32" i="1"/>
  <c r="J5" i="16" s="1"/>
  <c r="K31" i="1"/>
  <c r="J4" i="16" s="1"/>
  <c r="J19" i="16" l="1"/>
  <c r="J28" i="16"/>
  <c r="J18" i="16"/>
  <c r="J27" i="16"/>
  <c r="J8" i="16"/>
  <c r="J6" i="16"/>
  <c r="G7" i="21" l="1"/>
  <c r="D6" i="21"/>
  <c r="K13" i="1"/>
  <c r="K15" i="1"/>
  <c r="J15" i="16" l="1"/>
  <c r="G20" i="21"/>
  <c r="D19" i="21"/>
  <c r="K28" i="1" l="1"/>
  <c r="K27" i="1"/>
  <c r="K26" i="1"/>
  <c r="K25" i="1"/>
  <c r="K24" i="1"/>
  <c r="K23" i="1"/>
  <c r="K22" i="1"/>
  <c r="K21" i="1"/>
  <c r="E8" i="18" s="1"/>
  <c r="K20" i="1"/>
  <c r="K19" i="1"/>
  <c r="E6" i="18" s="1"/>
  <c r="K17" i="1"/>
  <c r="J25" i="16" s="1"/>
  <c r="K12" i="1"/>
  <c r="H18" i="24" l="1"/>
  <c r="N3" i="15"/>
  <c r="H48" i="18"/>
  <c r="H22" i="24"/>
  <c r="F16" i="21"/>
  <c r="G16" i="21" s="1"/>
  <c r="F3" i="21"/>
  <c r="G3" i="21" s="1"/>
  <c r="F18" i="21"/>
  <c r="G18" i="21" s="1"/>
  <c r="F5" i="21"/>
  <c r="G5" i="21" s="1"/>
  <c r="F17" i="21"/>
  <c r="G17" i="21" s="1"/>
  <c r="F4" i="21"/>
  <c r="G4" i="21" s="1"/>
  <c r="F19" i="21"/>
  <c r="G19" i="21" s="1"/>
  <c r="F6" i="21"/>
  <c r="G6" i="21" s="1"/>
  <c r="I2" i="20"/>
  <c r="I4" i="20" s="1"/>
  <c r="D5" i="20" s="1"/>
  <c r="E7" i="18"/>
  <c r="J7" i="18" s="1"/>
  <c r="H50" i="18"/>
  <c r="J8" i="18"/>
  <c r="J6" i="18"/>
  <c r="J10" i="18" l="1"/>
  <c r="G6" i="15" s="1"/>
  <c r="M22" i="24"/>
  <c r="J22" i="24"/>
  <c r="N22" i="24" s="1"/>
  <c r="M18" i="24"/>
  <c r="J18" i="24"/>
  <c r="G21" i="21"/>
  <c r="G22" i="21" s="1"/>
  <c r="G24" i="21" s="1"/>
  <c r="G8" i="21"/>
  <c r="G9" i="21" s="1"/>
  <c r="I5" i="20"/>
  <c r="I7" i="20" s="1"/>
  <c r="I8" i="20" s="1"/>
  <c r="I11" i="12" s="1"/>
  <c r="N11" i="12" s="1"/>
  <c r="N13" i="12" s="1"/>
  <c r="E25" i="12" s="1"/>
  <c r="N25" i="12" s="1"/>
  <c r="H31" i="24" s="1"/>
  <c r="F6" i="18"/>
  <c r="G6" i="18"/>
  <c r="H6" i="18"/>
  <c r="I6" i="18"/>
  <c r="F7" i="18"/>
  <c r="G7" i="18"/>
  <c r="H7" i="18"/>
  <c r="I7" i="18"/>
  <c r="F8" i="18"/>
  <c r="G8" i="18"/>
  <c r="H8" i="18"/>
  <c r="I8" i="18"/>
  <c r="M31" i="24" l="1"/>
  <c r="J31" i="24"/>
  <c r="N31" i="24" s="1"/>
  <c r="H10" i="18"/>
  <c r="N18" i="24"/>
  <c r="G5" i="15"/>
  <c r="H20" i="24"/>
  <c r="G11" i="21"/>
  <c r="N6" i="15"/>
  <c r="J9" i="16"/>
  <c r="N5" i="15" l="1"/>
  <c r="J20" i="24"/>
  <c r="M20" i="24"/>
  <c r="N28" i="16"/>
  <c r="N27" i="16"/>
  <c r="N26" i="16"/>
  <c r="N25" i="16"/>
  <c r="N19" i="16"/>
  <c r="N18" i="16"/>
  <c r="N17" i="16"/>
  <c r="N16" i="16"/>
  <c r="N15" i="16"/>
  <c r="N9" i="16"/>
  <c r="N8" i="16"/>
  <c r="N7" i="16"/>
  <c r="N6" i="16"/>
  <c r="N5" i="16"/>
  <c r="N4" i="16"/>
  <c r="N3" i="16"/>
  <c r="L13" i="15"/>
  <c r="F15" i="15" s="1"/>
  <c r="N20" i="24" l="1"/>
  <c r="N29" i="16"/>
  <c r="N20" i="16"/>
  <c r="L15" i="15"/>
  <c r="N4" i="15" s="1"/>
  <c r="N2" i="15"/>
  <c r="N10" i="16"/>
  <c r="N30" i="16" l="1"/>
  <c r="H25" i="24" s="1"/>
  <c r="F30" i="16"/>
  <c r="N21" i="16"/>
  <c r="H24" i="24" s="1"/>
  <c r="F21" i="16"/>
  <c r="N11" i="16"/>
  <c r="H23" i="24" s="1"/>
  <c r="F11" i="16"/>
  <c r="N8" i="15"/>
  <c r="N9" i="15" s="1"/>
  <c r="H29" i="24" s="1"/>
  <c r="J29" i="24" l="1"/>
  <c r="N29" i="24" s="1"/>
  <c r="M29" i="24"/>
  <c r="J24" i="24"/>
  <c r="N24" i="24" s="1"/>
  <c r="M24" i="24"/>
  <c r="M25" i="24"/>
  <c r="J25" i="24"/>
  <c r="N25" i="24" s="1"/>
  <c r="J23" i="24"/>
  <c r="M23" i="24"/>
  <c r="J35" i="24" l="1"/>
  <c r="N23" i="24"/>
  <c r="N33" i="24" s="1"/>
  <c r="P35" i="24" l="1"/>
</calcChain>
</file>

<file path=xl/comments1.xml><?xml version="1.0" encoding="utf-8"?>
<comments xmlns="http://schemas.openxmlformats.org/spreadsheetml/2006/main">
  <authors>
    <author>pg-pc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ค่าดินขุดตัด+ขนทิ้ง
</t>
        </r>
      </text>
    </comment>
  </commentList>
</comments>
</file>

<file path=xl/comments2.xml><?xml version="1.0" encoding="utf-8"?>
<comments xmlns="http://schemas.openxmlformats.org/spreadsheetml/2006/main">
  <authors>
    <author>pg-pc</author>
    <author>PK_computer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น้อยกว่า 5,000 ลบ.ม.
ใช้ 5,000 ลบ.ม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3.xml><?xml version="1.0" encoding="utf-8"?>
<comments xmlns="http://schemas.openxmlformats.org/spreadsheetml/2006/main">
  <authors>
    <author>PK_computer</author>
  </authors>
  <commentList>
    <comment ref="J1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<sst xmlns="http://schemas.openxmlformats.org/spreadsheetml/2006/main" count="729" uniqueCount="322">
  <si>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</si>
  <si>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</si>
  <si>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</si>
  <si>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</si>
  <si>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</si>
  <si>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</si>
  <si>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</si>
  <si>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</si>
  <si>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</si>
  <si>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</si>
  <si>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</si>
  <si>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</si>
  <si>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</si>
  <si>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</si>
  <si>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</si>
  <si>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</si>
  <si>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</si>
  <si>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</si>
  <si>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</si>
  <si>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</si>
  <si>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</si>
  <si>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</si>
  <si>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</si>
  <si>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</si>
  <si>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</si>
  <si>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</si>
  <si>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</si>
  <si>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</si>
  <si>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</si>
  <si>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</si>
  <si>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</si>
  <si>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</si>
  <si>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</si>
  <si>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</si>
  <si>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</si>
  <si>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</si>
  <si>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</si>
  <si>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</si>
  <si>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</si>
  <si>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</si>
  <si>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</si>
  <si>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</si>
  <si>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</si>
  <si>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</si>
  <si>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</si>
  <si>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</si>
  <si>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</si>
  <si>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</si>
  <si>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</si>
  <si>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</si>
  <si>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</si>
  <si>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</si>
  <si>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</si>
  <si>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</si>
  <si>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</si>
  <si>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</si>
  <si>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</si>
  <si>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</si>
  <si>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</si>
  <si>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</si>
  <si>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</si>
  <si>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</si>
  <si>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</si>
  <si>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</si>
  <si>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</si>
  <si>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</si>
  <si>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</si>
  <si>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</si>
  <si>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</si>
  <si>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</si>
  <si>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</si>
  <si>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</si>
  <si>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</si>
  <si>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</si>
  <si>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</si>
  <si>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</si>
  <si>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 xml:space="preserve">R.C. Pipe Culvert   Dia. </t>
  </si>
  <si>
    <t>m. CLASS -</t>
  </si>
  <si>
    <t>ขุดดิน</t>
  </si>
  <si>
    <t>ลบ.ม. @</t>
  </si>
  <si>
    <t xml:space="preserve">  =</t>
  </si>
  <si>
    <t>บาท/ม.</t>
  </si>
  <si>
    <r>
      <t xml:space="preserve">ค่าท่อØ  </t>
    </r>
    <r>
      <rPr>
        <sz val="16"/>
        <color indexed="10"/>
        <rFont val="TH SarabunPSK"/>
        <family val="2"/>
      </rPr>
      <t/>
    </r>
  </si>
  <si>
    <t>ค่าขนส่ง</t>
  </si>
  <si>
    <t>ค่าวางและกลบกลับ</t>
  </si>
  <si>
    <t>ค่าใช้จ่ายรวม</t>
  </si>
  <si>
    <t>ค่างานต้นทุน</t>
  </si>
  <si>
    <t xml:space="preserve">    ค่าขนส่งท่อคิดจารการขนโดยรถบรรทุก  10  ล้อ  เที่ยวละ  13  ตัน</t>
  </si>
  <si>
    <t xml:space="preserve">    ค่าขนท่อขึ้น - ลง  คิดเที่ยวละ  300  บาท </t>
  </si>
  <si>
    <t xml:space="preserve">    ค่าขนส่ง     </t>
  </si>
  <si>
    <t>กม.=</t>
  </si>
  <si>
    <t>x 13+300</t>
  </si>
  <si>
    <t>บาท/เที่ยว</t>
  </si>
  <si>
    <t xml:space="preserve">    ค่าขนส่งเฉลี่ย                       = </t>
  </si>
  <si>
    <t>/</t>
  </si>
  <si>
    <t>ขนาดท่อ</t>
  </si>
  <si>
    <t>จำนวน/เที่ยว</t>
  </si>
  <si>
    <t>ปริมาณท่อรวมช่องว่างภายใน</t>
  </si>
  <si>
    <t>คอนกรีตหยาบ</t>
  </si>
  <si>
    <t>(ม.)</t>
  </si>
  <si>
    <t>(บาท/ม.)</t>
  </si>
  <si>
    <t>(ลบ.ม.)</t>
  </si>
  <si>
    <t>Ø 0.30</t>
  </si>
  <si>
    <t>Ø 0.40</t>
  </si>
  <si>
    <t>Ø 0.50</t>
  </si>
  <si>
    <t>Ø 0.60</t>
  </si>
  <si>
    <t>Ø 0.80</t>
  </si>
  <si>
    <t>Ø 1.00</t>
  </si>
  <si>
    <t>Ø 1.20</t>
  </si>
  <si>
    <t>Ø 1.50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</si>
  <si>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</si>
  <si>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</si>
  <si>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</si>
  <si>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</si>
  <si>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</si>
  <si>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</si>
  <si>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</si>
  <si>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</si>
  <si>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</si>
  <si>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</si>
  <si>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</si>
  <si>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</si>
  <si>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</si>
  <si>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t>END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</si>
  <si>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</si>
  <si>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</si>
  <si>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</si>
  <si>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</si>
  <si>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</si>
  <si>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</si>
  <si>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</si>
  <si>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</si>
  <si>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</si>
  <si>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</si>
  <si>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</si>
  <si>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</si>
  <si>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</si>
  <si>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</si>
  <si>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</si>
  <si>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</si>
  <si>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</si>
  <si>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</si>
  <si>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</si>
  <si>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</si>
  <si>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</si>
  <si>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กรณีทรายและหินมีหน่วยเป็นปริมาตร</t>
  </si>
  <si>
    <t>Class of Concrete</t>
  </si>
  <si>
    <t>ค 4</t>
  </si>
  <si>
    <t>ค 3</t>
  </si>
  <si>
    <t>ค 2</t>
  </si>
  <si>
    <t>ค 1</t>
  </si>
  <si>
    <t>Lean  1:3:5</t>
  </si>
  <si>
    <t>ส่วนผสมคอนกรีต</t>
  </si>
  <si>
    <t>400:524:728</t>
  </si>
  <si>
    <t>350:572:736</t>
  </si>
  <si>
    <t>320:596:764</t>
  </si>
  <si>
    <t>290:620:725</t>
  </si>
  <si>
    <t>240:520:870</t>
  </si>
  <si>
    <t xml:space="preserve">   1. ซีเมนต์</t>
  </si>
  <si>
    <t xml:space="preserve">   2. ทราย</t>
  </si>
  <si>
    <t xml:space="preserve">   3. หิน</t>
  </si>
  <si>
    <t>320/280</t>
  </si>
  <si>
    <t>280/240</t>
  </si>
  <si>
    <t>240/210</t>
  </si>
  <si>
    <t>210/180</t>
  </si>
  <si>
    <t>180/140</t>
  </si>
  <si>
    <t xml:space="preserve">   1. คอนกรีตผสมเสร็จ</t>
  </si>
  <si>
    <t xml:space="preserve">   2. ค่าแรงเท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</si>
  <si>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</si>
  <si>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</si>
  <si>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</si>
  <si>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</si>
  <si>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</si>
  <si>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</si>
  <si>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</si>
  <si>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</si>
  <si>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ท่อ คสล. ขนาด Ø 0.30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</si>
  <si>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</si>
  <si>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</si>
  <si>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</si>
  <si>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theme="1"/>
        <rFont val="Calibri"/>
        <family val="2"/>
      </rPr>
      <t>ø</t>
    </r>
    <r>
      <rPr>
        <sz val="17.600000000000001"/>
        <color theme="1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</si>
  <si>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</si>
  <si>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</si>
  <si>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</si>
  <si>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กม.</t>
  </si>
  <si>
    <t xml:space="preserve">... รวมค่างานต้นทุน </t>
  </si>
  <si>
    <t>งานดิน</t>
  </si>
  <si>
    <t>งานวัสดุรองใต้ผิวทางคอนกรีต</t>
  </si>
  <si>
    <t>งานผิวทาง</t>
  </si>
  <si>
    <t>งานไหล่ทาง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</si>
  <si>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</si>
  <si>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</si>
  <si>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</si>
  <si>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</si>
  <si>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</si>
  <si>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</si>
  <si>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</si>
  <si>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</si>
  <si>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</si>
  <si>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</si>
  <si>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</si>
  <si>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</si>
  <si>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</si>
  <si>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</si>
  <si>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</si>
  <si>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</si>
  <si>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</si>
  <si>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</si>
  <si>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</si>
  <si>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</si>
  <si>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>ลวดผูกเหล็ก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</si>
  <si>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</si>
  <si>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</si>
  <si>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ทรายหยาบอัดแน่น</t>
  </si>
  <si>
    <t>ท่อ PVC Ø 2"</t>
  </si>
  <si>
    <t>งานท่อระบายน้ำ คสล.</t>
  </si>
  <si>
    <t>เมตร  ชั้น -</t>
  </si>
  <si>
    <t>บาท  x</t>
  </si>
  <si>
    <t xml:space="preserve">ค่าดำเนินการและค่าเสื่อมบดอัด  </t>
  </si>
  <si>
    <t>1.  ข้อมูลงานคอนกรีต  Class  ต่างๆ  ตามมาตรฐานกรมทางหลวงชนบท</t>
  </si>
  <si>
    <t>2.  ข้อมูลงานคอนกรีต กรณีใช้คอนกรีตผสมเสร็จ  รูปลูกบาศก์/รูปทรงกระบอก</t>
  </si>
  <si>
    <t xml:space="preserve">   4. ค่าแรงผสม - เท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</si>
  <si>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</si>
  <si>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</si>
  <si>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</si>
  <si>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</si>
  <si>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</si>
  <si>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</si>
  <si>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</si>
  <si>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</si>
  <si>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</si>
  <si>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</si>
  <si>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</si>
  <si>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</si>
  <si>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</si>
  <si>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</si>
  <si>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</si>
  <si>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</si>
  <si>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</si>
  <si>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</si>
  <si>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</si>
  <si>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ค่าเหล็ก Tie Bar  (DB Ø 16 มม.) </t>
  </si>
  <si>
    <t>คิดจากความยาว  10.00  ม.</t>
  </si>
  <si>
    <t xml:space="preserve">Joint  Filler  </t>
  </si>
  <si>
    <t xml:space="preserve">    /</t>
  </si>
  <si>
    <t>ค่าเหล็ก Dowel Bar  (RB Ø 15 มม.)</t>
  </si>
  <si>
    <t>ระยะเวลาดำเนินการ  60 วัน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</si>
  <si>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</si>
  <si>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</si>
  <si>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</si>
  <si>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</si>
  <si>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</si>
  <si>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</si>
  <si>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</si>
  <si>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</si>
  <si>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</si>
  <si>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</si>
  <si>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</si>
  <si>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</si>
  <si>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</si>
  <si>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t>โครงการ      : ก่อสร้างถนน คสล. ซอยบ้านนายศรีจันทร์</t>
  </si>
  <si>
    <r>
      <t>ปริมาณงาน   : 1. ก่อสร้างถนนคสล.</t>
    </r>
    <r>
      <rPr>
        <sz val="14.4"/>
        <color indexed="8"/>
        <rFont val="TH SarabunPSK"/>
        <family val="2"/>
      </rPr>
      <t xml:space="preserve"> ขนาดกว้าง 5.00 เมตร  ยาว 167.00 เมตร  หนา 0.15 เมตร พร้อมไหล่ทาง 2 ข้าง  กว้างเฉลี่ย 0.30 เมตร </t>
    </r>
  </si>
  <si>
    <t xml:space="preserve">                   2. วางท่อ คสล. ขนาด Ø 0.30 ม.  จำนวน 11.00 ท่อน  พร้อมบ่อพักน้ำ 1 บ่อ</t>
  </si>
  <si>
    <t>งานบ่อพักน้ำ คสล.</t>
  </si>
  <si>
    <t>งานบ่อพัก  คสล. สำหรับท่อ ขนาด  ø 0.30 ม.  พร้อมฝาบ่อพัก</t>
  </si>
  <si>
    <t>ก. บ่อพัก  คสล.    (ไม่รวมฝาปิด)</t>
  </si>
  <si>
    <t>เหล็กเสริม  RB  9  มม.</t>
  </si>
  <si>
    <t>ไม้แบบ (1)</t>
  </si>
  <si>
    <t>ค่าเชื่อม</t>
  </si>
  <si>
    <t>จุด</t>
  </si>
  <si>
    <t>ขุดดินและปรับพื้น</t>
  </si>
  <si>
    <t>ค่าคอนกรีตหยาบ  1 : 3 : 5  หนา  0.05  ม.</t>
  </si>
  <si>
    <t>ค่าทรายหยาบรองพื้น  หนา  0.05 ม.</t>
  </si>
  <si>
    <t>สีกันสนิม  2  ชั้น</t>
  </si>
  <si>
    <t>ค่างานต้นทุนเฉพาะ  บ่อพัก คสล.</t>
  </si>
  <si>
    <t>ค่างานต้นทุนฝาตะแกรงเหล็ก  1  ฝา</t>
  </si>
  <si>
    <t>ค่างาน  บ่อพัก คสล.  +  ฝาปิด</t>
  </si>
  <si>
    <t>คอนกรีตผสมเสร็จรูปลูกบาศก์ 240 กก./ตร.ซม</t>
  </si>
  <si>
    <t>เหล็ก RB Ø 9 มม.</t>
  </si>
  <si>
    <t>ข. ฝาปิดคอนกรีต   ( คิด  1  ฝา  )</t>
  </si>
  <si>
    <t>บ่อ</t>
  </si>
  <si>
    <t>เหล็กฉาก 50x50x4 มม.</t>
  </si>
  <si>
    <t>เหล็กฉาก L 50  x 50 x 4  มม.</t>
  </si>
  <si>
    <t>ที่ตั้งโครงการ : ค้างฮ้อ  หมู่ที่ 3  ตำบลป่ากลาง  อำเภอปัว  จังหวัดน่าน</t>
  </si>
  <si>
    <t>ตามแบบมาตรฐานถนน คสล. เลขที่ ท.1-01</t>
  </si>
  <si>
    <t>พาณิชย์ ฯ น่าน ข้อ3</t>
  </si>
  <si>
    <t>พาณิชย์ ฯ น่าน ข้อ19</t>
  </si>
  <si>
    <t>พาณิชย์ ฯ แพร่ ข้อ35</t>
  </si>
  <si>
    <t>พาณิชย์ ฯ แพร่ ข้อ36</t>
  </si>
  <si>
    <t>พาณิชย์ ฯ น่าน ข้อ22</t>
  </si>
  <si>
    <t>พาณิชย์ ฯ น่าน ข้อ24</t>
  </si>
  <si>
    <t>พาณิชย์ ฯ น่าน ข้อ154</t>
  </si>
  <si>
    <t>พาณิชย์ ฯ น่าน ข้อ157</t>
  </si>
  <si>
    <t>พาณิชย์ ฯ น่าน ข้อ160</t>
  </si>
  <si>
    <t>พาณิชย์ ฯ น่าน ข้อ163</t>
  </si>
  <si>
    <t>พาณิชย์ ฯ น่าน ข้อ131</t>
  </si>
  <si>
    <t>พาณิชย์ ฯ น่าน ข้อ128</t>
  </si>
  <si>
    <t>พาณิชย์ ฯ น่าน ข้อ148</t>
  </si>
  <si>
    <t>พาณิชย์ ฯ น่าน ข้อ51</t>
  </si>
  <si>
    <t>พาณิชย์ ฯ น่าน ข้อ20</t>
  </si>
  <si>
    <t>งานขุดป่าถางตอ</t>
  </si>
  <si>
    <t>1.1 งานขุดป่าถางตอขนาดเบา</t>
  </si>
  <si>
    <t>งานรื้อคันทางเดิมและบดทับ</t>
  </si>
  <si>
    <t>2.1 ค่ารื้อคันทางเดิมและบดทับ</t>
  </si>
  <si>
    <t>( นายนัฏฐิชัย  ใจมั่น )</t>
  </si>
  <si>
    <t>กำหนดราคากลางวันที่ 28 สิงหาคม 2561</t>
  </si>
  <si>
    <t>เขตฝนตกปกติ   ราคาน้ำมันโซล่าเฉลี่ยที่อำเภอเมือง  30.00 - 30.99  บาท/ลิตร</t>
  </si>
  <si>
    <t>3.1 งานดินตัดคันทาง</t>
  </si>
  <si>
    <t>3.2  งานดินถมคันทาง</t>
  </si>
  <si>
    <t>4.1 งานทรายรองใต้ผิวทางคอนกรีต</t>
  </si>
  <si>
    <t>5.1 งานผิวทางปอร์ตแลนด์ซีเมนต์คอนกรีตหนา 0.15 ม.</t>
  </si>
  <si>
    <t>5.2 งานรอยต่อเผื่อขยายตามขวาง</t>
  </si>
  <si>
    <t>5.3 งานรอยต่อเผื่อหดตามขวาง</t>
  </si>
  <si>
    <t>5.4 งานรอยต่อตามยาว</t>
  </si>
  <si>
    <t>6.1 งานดินถมไหล่ทาง</t>
  </si>
  <si>
    <t>7.1 งานท่อระบายน้ำ คสล. Ø 0.30 ม.</t>
  </si>
  <si>
    <t>8.1 บ่อพักน้ำน้ำ คสล.ขนาด 0.50 x 0.50 x 0.50  ม.</t>
  </si>
  <si>
    <t>ระยะเวลาดำเนินการ.............. วัน</t>
  </si>
  <si>
    <t xml:space="preserve">       (................................................)</t>
  </si>
  <si>
    <t>ลงชื่อ......................................................ผู้เสนอราคา</t>
  </si>
  <si>
    <t xml:space="preserve">      ประทับตราถ้ามี</t>
  </si>
  <si>
    <t>เสนอราคาเมื่อวันที่....................................................................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</si>
</sst>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00"/>
    <numFmt numFmtId="203" formatCode="0.0"/>
    <numFmt numFmtId="204" formatCode="_(* #,##0.000_);_(* \(#,##0.000\);_(* &quot;-&quot;??_);_(@_)"/>
    <numFmt numFmtId="205" formatCode="_-* #,##0_-;\-* #,##0_-;_-* &quot;-&quot;??_-;_-@_-"/>
  </numFmts>
  <fonts count="4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AngsanaUPC"/>
      <family val="1"/>
      <charset val="222"/>
    </font>
    <font>
      <sz val="11"/>
      <name val="Times New Roman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5"/>
      <name val="AngsanaUPC"/>
      <family val="1"/>
      <charset val="222"/>
    </font>
    <font>
      <sz val="14.4"/>
      <color indexed="8"/>
      <name val="TH SarabunPSK"/>
      <family val="2"/>
    </font>
    <font>
      <b/>
      <u/>
      <sz val="16"/>
      <name val="TH SarabunPSK"/>
      <family val="2"/>
    </font>
    <font>
      <sz val="16"/>
      <color indexed="10"/>
      <name val="TH SarabunPSK"/>
      <family val="2"/>
    </font>
    <font>
      <b/>
      <i/>
      <sz val="16"/>
      <name val="TH SarabunPSK"/>
      <family val="2"/>
    </font>
    <font>
      <sz val="16"/>
      <color indexed="9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6"/>
      <color theme="1"/>
      <name val="Calibri"/>
      <family val="2"/>
    </font>
    <font>
      <sz val="17.600000000000001"/>
      <color theme="1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PSK"/>
      <family val="2"/>
    </font>
    <font>
      <sz val="11"/>
      <name val="Tahoma"/>
      <family val="2"/>
      <charset val="222"/>
      <scheme val="minor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i/>
      <sz val="16"/>
      <name val="TH SarabunPSK"/>
      <family val="2"/>
    </font>
    <font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/>
    <xf numFmtId="0" fontId="17" fillId="0" borderId="0"/>
    <xf numFmtId="9" fontId="5" fillId="2" borderId="0"/>
    <xf numFmtId="0" fontId="18" fillId="3" borderId="13">
      <alignment horizontal="centerContinuous" vertical="top"/>
    </xf>
    <xf numFmtId="0" fontId="5" fillId="0" borderId="0" applyFill="0" applyBorder="0" applyAlignment="0"/>
    <xf numFmtId="193" fontId="13" fillId="0" borderId="0" applyFill="0" applyBorder="0" applyAlignment="0"/>
    <xf numFmtId="0" fontId="16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" borderId="13">
      <alignment horizontal="centerContinuous" vertical="top"/>
    </xf>
    <xf numFmtId="193" fontId="13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8" fontId="19" fillId="3" borderId="0" applyNumberFormat="0" applyBorder="0" applyAlignment="0" applyProtection="0"/>
    <xf numFmtId="0" fontId="22" fillId="0" borderId="14" applyNumberFormat="0" applyAlignment="0" applyProtection="0">
      <alignment horizontal="left" vertical="center"/>
    </xf>
    <xf numFmtId="0" fontId="22" fillId="0" borderId="15">
      <alignment horizontal="left" vertical="center"/>
    </xf>
    <xf numFmtId="10" fontId="19" fillId="5" borderId="1" applyNumberFormat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7" fontId="6" fillId="0" borderId="0"/>
    <xf numFmtId="195" fontId="4" fillId="0" borderId="0"/>
    <xf numFmtId="0" fontId="4" fillId="0" borderId="0"/>
    <xf numFmtId="0" fontId="4" fillId="0" borderId="0"/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0" fontId="23" fillId="2" borderId="0"/>
    <xf numFmtId="49" fontId="20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188" fontId="26" fillId="0" borderId="0" applyFont="0" applyFill="0" applyBorder="0" applyAlignment="0" applyProtection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ont="0" applyFill="0" applyBorder="0" applyAlignment="0" applyProtection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0" fontId="4" fillId="0" borderId="0"/>
    <xf numFmtId="0" fontId="25" fillId="0" borderId="0"/>
    <xf numFmtId="0" fontId="3" fillId="0" borderId="0"/>
    <xf numFmtId="0" fontId="4" fillId="0" borderId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87" fontId="2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</cellStyleXfs>
  <cellXfs count="3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80" applyFont="1"/>
    <xf numFmtId="0" fontId="7" fillId="0" borderId="11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right"/>
    </xf>
    <xf numFmtId="0" fontId="7" fillId="0" borderId="0" xfId="0" applyFont="1" applyAlignment="1"/>
    <xf numFmtId="4" fontId="28" fillId="0" borderId="2" xfId="104" applyNumberFormat="1" applyFont="1" applyBorder="1" applyAlignment="1">
      <alignment horizontal="center" vertical="center"/>
    </xf>
    <xf numFmtId="4" fontId="28" fillId="0" borderId="4" xfId="104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3" fontId="7" fillId="0" borderId="3" xfId="1" applyFont="1" applyBorder="1" applyAlignment="1">
      <alignment horizontal="right" vertical="center"/>
    </xf>
    <xf numFmtId="43" fontId="7" fillId="0" borderId="3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200" fontId="7" fillId="0" borderId="3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1" applyFont="1" applyBorder="1" applyAlignment="1">
      <alignment horizontal="right" vertical="center"/>
    </xf>
    <xf numFmtId="43" fontId="7" fillId="0" borderId="4" xfId="1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201" fontId="7" fillId="0" borderId="0" xfId="0" applyNumberFormat="1" applyFont="1" applyBorder="1" applyAlignment="1">
      <alignment horizontal="right" vertical="center"/>
    </xf>
    <xf numFmtId="0" fontId="7" fillId="0" borderId="0" xfId="105" applyFont="1"/>
    <xf numFmtId="200" fontId="7" fillId="0" borderId="4" xfId="1" applyNumberFormat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" fontId="2" fillId="0" borderId="0" xfId="0" applyNumberFormat="1" applyFont="1"/>
    <xf numFmtId="20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7" fillId="0" borderId="0" xfId="0" applyFont="1" applyBorder="1" applyAlignment="1">
      <alignment horizontal="center"/>
    </xf>
    <xf numFmtId="0" fontId="2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protection hidden="1"/>
    </xf>
    <xf numFmtId="43" fontId="2" fillId="0" borderId="0" xfId="1" applyFont="1" applyBorder="1" applyAlignment="1">
      <alignment horizontal="right" indent="1"/>
    </xf>
    <xf numFmtId="0" fontId="7" fillId="0" borderId="0" xfId="0" quotePrefix="1" applyFont="1" applyAlignment="1" applyProtection="1">
      <alignment horizontal="left"/>
      <protection hidden="1"/>
    </xf>
    <xf numFmtId="43" fontId="2" fillId="0" borderId="11" xfId="1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1" applyNumberFormat="1" applyFont="1" applyFill="1" applyAlignment="1">
      <alignment horizontal="center"/>
    </xf>
    <xf numFmtId="0" fontId="28" fillId="0" borderId="11" xfId="0" applyFont="1" applyBorder="1"/>
    <xf numFmtId="4" fontId="7" fillId="0" borderId="0" xfId="0" applyNumberFormat="1" applyFont="1" applyBorder="1"/>
    <xf numFmtId="0" fontId="7" fillId="0" borderId="0" xfId="0" applyFont="1" applyFill="1"/>
    <xf numFmtId="43" fontId="7" fillId="0" borderId="0" xfId="1" applyFont="1" applyBorder="1" applyAlignment="1">
      <alignment horizontal="right" vertical="center" indent="1"/>
    </xf>
    <xf numFmtId="0" fontId="34" fillId="0" borderId="0" xfId="0" applyFont="1"/>
    <xf numFmtId="4" fontId="7" fillId="0" borderId="0" xfId="0" applyNumberFormat="1" applyFont="1" applyFill="1" applyBorder="1"/>
    <xf numFmtId="2" fontId="7" fillId="0" borderId="0" xfId="0" applyNumberFormat="1" applyFont="1" applyFill="1" applyBorder="1" applyAlignment="1"/>
    <xf numFmtId="0" fontId="7" fillId="0" borderId="0" xfId="0" applyFont="1" applyAlignment="1">
      <alignment horizontal="right"/>
    </xf>
    <xf numFmtId="43" fontId="29" fillId="7" borderId="16" xfId="0" applyNumberFormat="1" applyFont="1" applyFill="1" applyBorder="1"/>
    <xf numFmtId="0" fontId="36" fillId="0" borderId="0" xfId="0" applyFont="1"/>
    <xf numFmtId="4" fontId="7" fillId="0" borderId="0" xfId="0" applyNumberFormat="1" applyFont="1"/>
    <xf numFmtId="2" fontId="7" fillId="0" borderId="11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3" fontId="7" fillId="0" borderId="0" xfId="0" applyNumberFormat="1" applyFont="1" applyBorder="1" applyAlignment="1"/>
    <xf numFmtId="43" fontId="7" fillId="0" borderId="0" xfId="0" applyNumberFormat="1" applyFont="1" applyFill="1" applyBorder="1"/>
    <xf numFmtId="4" fontId="2" fillId="0" borderId="11" xfId="1" applyNumberFormat="1" applyFont="1" applyBorder="1" applyAlignment="1">
      <alignment horizontal="right" indent="1"/>
    </xf>
    <xf numFmtId="43" fontId="7" fillId="0" borderId="0" xfId="0" applyNumberFormat="1" applyFont="1"/>
    <xf numFmtId="0" fontId="7" fillId="0" borderId="0" xfId="0" applyFont="1" applyFill="1" applyBorder="1"/>
    <xf numFmtId="0" fontId="7" fillId="0" borderId="0" xfId="90" applyFont="1"/>
    <xf numFmtId="0" fontId="34" fillId="0" borderId="0" xfId="90" applyFont="1"/>
    <xf numFmtId="0" fontId="34" fillId="0" borderId="0" xfId="90" applyFont="1" applyFill="1" applyAlignment="1">
      <alignment horizontal="center"/>
    </xf>
    <xf numFmtId="0" fontId="28" fillId="0" borderId="0" xfId="90" applyFont="1" applyAlignment="1">
      <alignment horizontal="center"/>
    </xf>
    <xf numFmtId="203" fontId="28" fillId="0" borderId="0" xfId="90" applyNumberFormat="1" applyFont="1" applyFill="1" applyAlignment="1">
      <alignment horizontal="center"/>
    </xf>
    <xf numFmtId="0" fontId="28" fillId="0" borderId="0" xfId="90" applyFont="1"/>
    <xf numFmtId="0" fontId="38" fillId="0" borderId="0" xfId="0" applyFont="1"/>
    <xf numFmtId="0" fontId="7" fillId="0" borderId="0" xfId="90" applyFont="1" applyBorder="1" applyAlignment="1">
      <alignment horizontal="center"/>
    </xf>
    <xf numFmtId="0" fontId="34" fillId="0" borderId="0" xfId="90" applyFont="1" applyBorder="1" applyAlignment="1">
      <alignment horizontal="center"/>
    </xf>
    <xf numFmtId="0" fontId="7" fillId="0" borderId="0" xfId="90" applyFont="1" applyBorder="1" applyAlignment="1"/>
    <xf numFmtId="0" fontId="7" fillId="0" borderId="0" xfId="90" applyFont="1" applyAlignment="1">
      <alignment horizontal="left"/>
    </xf>
    <xf numFmtId="4" fontId="7" fillId="0" borderId="0" xfId="90" applyNumberFormat="1" applyFont="1" applyFill="1" applyBorder="1" applyAlignment="1"/>
    <xf numFmtId="2" fontId="7" fillId="0" borderId="0" xfId="90" applyNumberFormat="1" applyFont="1" applyBorder="1" applyAlignment="1"/>
    <xf numFmtId="0" fontId="7" fillId="0" borderId="0" xfId="90" applyFont="1" applyBorder="1"/>
    <xf numFmtId="4" fontId="7" fillId="0" borderId="22" xfId="90" applyNumberFormat="1" applyFont="1" applyFill="1" applyBorder="1" applyAlignment="1">
      <alignment horizontal="center"/>
    </xf>
    <xf numFmtId="2" fontId="7" fillId="0" borderId="0" xfId="90" applyNumberFormat="1" applyFont="1" applyBorder="1" applyAlignment="1">
      <alignment horizontal="center"/>
    </xf>
    <xf numFmtId="0" fontId="7" fillId="0" borderId="0" xfId="90" applyFont="1" applyFill="1" applyBorder="1" applyAlignment="1">
      <alignment horizontal="center"/>
    </xf>
    <xf numFmtId="0" fontId="39" fillId="0" borderId="0" xfId="90" applyFont="1" applyFill="1" applyBorder="1"/>
    <xf numFmtId="0" fontId="7" fillId="0" borderId="0" xfId="90" applyFont="1" applyFill="1" applyBorder="1"/>
    <xf numFmtId="187" fontId="7" fillId="0" borderId="0" xfId="1" applyNumberFormat="1" applyFont="1" applyBorder="1" applyAlignment="1">
      <alignment horizontal="center"/>
    </xf>
    <xf numFmtId="0" fontId="7" fillId="0" borderId="22" xfId="90" applyFont="1" applyBorder="1"/>
    <xf numFmtId="0" fontId="7" fillId="0" borderId="13" xfId="90" applyFont="1" applyBorder="1" applyAlignment="1">
      <alignment horizontal="center"/>
    </xf>
    <xf numFmtId="0" fontId="7" fillId="0" borderId="1" xfId="90" applyFont="1" applyBorder="1" applyAlignment="1">
      <alignment horizontal="center"/>
    </xf>
    <xf numFmtId="0" fontId="7" fillId="0" borderId="8" xfId="90" applyFont="1" applyBorder="1" applyAlignment="1"/>
    <xf numFmtId="187" fontId="7" fillId="0" borderId="23" xfId="90" applyNumberFormat="1" applyFont="1" applyBorder="1" applyAlignment="1">
      <alignment horizontal="center"/>
    </xf>
    <xf numFmtId="187" fontId="7" fillId="0" borderId="13" xfId="1" applyNumberFormat="1" applyFont="1" applyBorder="1" applyAlignment="1">
      <alignment horizontal="center"/>
    </xf>
    <xf numFmtId="187" fontId="7" fillId="0" borderId="1" xfId="1" applyNumberFormat="1" applyFont="1" applyBorder="1" applyAlignment="1"/>
    <xf numFmtId="187" fontId="7" fillId="0" borderId="21" xfId="90" applyNumberFormat="1" applyFont="1" applyBorder="1" applyAlignment="1">
      <alignment horizontal="center"/>
    </xf>
    <xf numFmtId="0" fontId="7" fillId="0" borderId="10" xfId="90" applyFont="1" applyBorder="1" applyAlignment="1"/>
    <xf numFmtId="0" fontId="7" fillId="0" borderId="11" xfId="90" applyFont="1" applyBorder="1"/>
    <xf numFmtId="0" fontId="7" fillId="0" borderId="11" xfId="90" applyFont="1" applyBorder="1" applyAlignment="1">
      <alignment horizontal="center"/>
    </xf>
    <xf numFmtId="0" fontId="7" fillId="6" borderId="13" xfId="90" applyFont="1" applyFill="1" applyBorder="1" applyAlignment="1">
      <alignment horizontal="center"/>
    </xf>
    <xf numFmtId="0" fontId="7" fillId="6" borderId="1" xfId="90" applyFont="1" applyFill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203" fontId="28" fillId="6" borderId="19" xfId="9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7" fillId="0" borderId="0" xfId="1" applyFont="1" applyBorder="1" applyAlignment="1">
      <alignment vertical="center"/>
    </xf>
    <xf numFmtId="0" fontId="7" fillId="0" borderId="0" xfId="90" applyFont="1" applyAlignment="1">
      <alignment horizontal="right"/>
    </xf>
    <xf numFmtId="43" fontId="7" fillId="0" borderId="11" xfId="1" applyNumberFormat="1" applyFont="1" applyBorder="1"/>
    <xf numFmtId="43" fontId="28" fillId="0" borderId="24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2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204" fontId="7" fillId="0" borderId="0" xfId="1" applyNumberFormat="1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204" fontId="29" fillId="6" borderId="25" xfId="1" applyNumberFormat="1" applyFont="1" applyFill="1" applyBorder="1" applyAlignment="1" applyProtection="1">
      <protection hidden="1"/>
    </xf>
    <xf numFmtId="204" fontId="29" fillId="6" borderId="20" xfId="1" applyNumberFormat="1" applyFont="1" applyFill="1" applyBorder="1" applyAlignment="1" applyProtection="1">
      <protection hidden="1"/>
    </xf>
    <xf numFmtId="187" fontId="29" fillId="6" borderId="20" xfId="1" applyNumberFormat="1" applyFont="1" applyFill="1" applyBorder="1" applyAlignment="1" applyProtection="1">
      <protection hidden="1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3" fontId="7" fillId="0" borderId="9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3" fontId="7" fillId="0" borderId="11" xfId="1" applyFont="1" applyBorder="1" applyAlignment="1">
      <alignment horizontal="right" vertical="center"/>
    </xf>
    <xf numFmtId="43" fontId="7" fillId="0" borderId="10" xfId="1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28" fillId="0" borderId="26" xfId="1" applyNumberFormat="1" applyFont="1" applyBorder="1"/>
    <xf numFmtId="43" fontId="28" fillId="0" borderId="1" xfId="1" applyNumberFormat="1" applyFont="1" applyBorder="1"/>
    <xf numFmtId="0" fontId="7" fillId="0" borderId="0" xfId="0" applyFont="1" applyAlignment="1" applyProtection="1">
      <alignment horizontal="left"/>
      <protection hidden="1"/>
    </xf>
    <xf numFmtId="204" fontId="7" fillId="0" borderId="25" xfId="1" applyNumberFormat="1" applyFont="1" applyFill="1" applyBorder="1" applyAlignment="1" applyProtection="1">
      <protection hidden="1"/>
    </xf>
    <xf numFmtId="187" fontId="7" fillId="0" borderId="25" xfId="1" applyNumberFormat="1" applyFont="1" applyBorder="1" applyAlignment="1" applyProtection="1">
      <protection hidden="1"/>
    </xf>
    <xf numFmtId="43" fontId="2" fillId="0" borderId="20" xfId="1" applyFont="1" applyBorder="1" applyAlignment="1">
      <alignment horizontal="right" indent="1"/>
    </xf>
    <xf numFmtId="43" fontId="7" fillId="7" borderId="16" xfId="0" applyNumberFormat="1" applyFont="1" applyFill="1" applyBorder="1"/>
    <xf numFmtId="187" fontId="7" fillId="0" borderId="25" xfId="1" applyNumberFormat="1" applyFont="1" applyFill="1" applyBorder="1" applyAlignment="1" applyProtection="1">
      <protection hidden="1"/>
    </xf>
    <xf numFmtId="0" fontId="44" fillId="0" borderId="0" xfId="0" applyFont="1"/>
    <xf numFmtId="43" fontId="2" fillId="0" borderId="0" xfId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05" fontId="7" fillId="0" borderId="0" xfId="1" applyNumberFormat="1" applyFont="1" applyBorder="1"/>
    <xf numFmtId="43" fontId="29" fillId="0" borderId="0" xfId="1" applyFont="1" applyBorder="1" applyAlignment="1">
      <alignment horizontal="center"/>
    </xf>
    <xf numFmtId="0" fontId="7" fillId="0" borderId="0" xfId="0" applyFont="1" applyBorder="1" applyAlignment="1"/>
    <xf numFmtId="0" fontId="28" fillId="0" borderId="0" xfId="0" applyFont="1" applyBorder="1" applyAlignment="1">
      <alignment horizontal="center"/>
    </xf>
    <xf numFmtId="187" fontId="7" fillId="0" borderId="0" xfId="1" applyNumberFormat="1" applyFont="1" applyBorder="1"/>
    <xf numFmtId="43" fontId="7" fillId="0" borderId="0" xfId="1" applyFont="1" applyFill="1" applyBorder="1" applyAlignment="1"/>
    <xf numFmtId="187" fontId="7" fillId="0" borderId="0" xfId="1" applyNumberFormat="1" applyFont="1" applyBorder="1" applyAlignment="1"/>
    <xf numFmtId="0" fontId="7" fillId="0" borderId="0" xfId="0" applyFont="1" applyBorder="1" applyAlignment="1">
      <alignment horizontal="right"/>
    </xf>
    <xf numFmtId="43" fontId="45" fillId="0" borderId="0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9" fillId="7" borderId="24" xfId="0" applyNumberFormat="1" applyFont="1" applyFill="1" applyBorder="1"/>
    <xf numFmtId="43" fontId="7" fillId="0" borderId="0" xfId="1" applyNumberFormat="1" applyFont="1" applyBorder="1"/>
    <xf numFmtId="187" fontId="7" fillId="6" borderId="0" xfId="1" applyNumberFormat="1" applyFont="1" applyFill="1" applyBorder="1" applyAlignment="1"/>
    <xf numFmtId="43" fontId="7" fillId="0" borderId="15" xfId="1" applyFont="1" applyBorder="1" applyAlignment="1">
      <alignment vertical="center"/>
    </xf>
    <xf numFmtId="43" fontId="28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6" fillId="0" borderId="0" xfId="0" applyFont="1"/>
    <xf numFmtId="43" fontId="7" fillId="0" borderId="0" xfId="1" applyFont="1" applyBorder="1" applyAlignment="1">
      <alignment horizontal="right" indent="1"/>
    </xf>
    <xf numFmtId="0" fontId="7" fillId="0" borderId="0" xfId="0" applyFont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1" applyNumberFormat="1" applyFont="1" applyBorder="1" applyAlignment="1">
      <alignment vertical="center"/>
    </xf>
    <xf numFmtId="187" fontId="7" fillId="0" borderId="20" xfId="1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7" fontId="7" fillId="6" borderId="1" xfId="1" applyNumberFormat="1" applyFont="1" applyFill="1" applyBorder="1" applyAlignment="1"/>
    <xf numFmtId="187" fontId="7" fillId="6" borderId="13" xfId="1" applyNumberFormat="1" applyFont="1" applyFill="1" applyBorder="1" applyAlignment="1">
      <alignment horizontal="center"/>
    </xf>
    <xf numFmtId="0" fontId="7" fillId="0" borderId="0" xfId="90" applyFont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7" fillId="6" borderId="27" xfId="1" applyFont="1" applyFill="1" applyBorder="1" applyAlignment="1">
      <alignment horizontal="center"/>
    </xf>
    <xf numFmtId="43" fontId="2" fillId="0" borderId="27" xfId="1" applyFont="1" applyBorder="1"/>
    <xf numFmtId="43" fontId="2" fillId="0" borderId="27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21" xfId="67" applyFont="1" applyBorder="1"/>
    <xf numFmtId="0" fontId="2" fillId="0" borderId="21" xfId="0" applyFont="1" applyBorder="1"/>
    <xf numFmtId="0" fontId="2" fillId="0" borderId="30" xfId="0" applyFont="1" applyBorder="1"/>
    <xf numFmtId="43" fontId="7" fillId="6" borderId="29" xfId="1" applyFont="1" applyFill="1" applyBorder="1"/>
    <xf numFmtId="43" fontId="2" fillId="0" borderId="29" xfId="1" applyFont="1" applyBorder="1"/>
    <xf numFmtId="43" fontId="2" fillId="0" borderId="29" xfId="1" applyFont="1" applyBorder="1" applyAlignment="1">
      <alignment horizontal="center"/>
    </xf>
    <xf numFmtId="0" fontId="7" fillId="0" borderId="21" xfId="98" applyFont="1" applyBorder="1"/>
    <xf numFmtId="0" fontId="7" fillId="0" borderId="21" xfId="100" applyFont="1" applyBorder="1"/>
    <xf numFmtId="43" fontId="29" fillId="6" borderId="29" xfId="1" applyFont="1" applyFill="1" applyBorder="1"/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1" xfId="0" applyFont="1" applyBorder="1"/>
    <xf numFmtId="0" fontId="2" fillId="0" borderId="32" xfId="0" applyFont="1" applyBorder="1" applyAlignment="1">
      <alignment horizontal="center"/>
    </xf>
    <xf numFmtId="0" fontId="7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2" xfId="0" applyFont="1" applyBorder="1"/>
    <xf numFmtId="43" fontId="2" fillId="0" borderId="32" xfId="1" applyFont="1" applyBorder="1"/>
    <xf numFmtId="0" fontId="7" fillId="0" borderId="0" xfId="90" applyFont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2" fillId="6" borderId="29" xfId="1" applyFont="1" applyFill="1" applyBorder="1"/>
    <xf numFmtId="43" fontId="7" fillId="6" borderId="29" xfId="1" applyFont="1" applyFill="1" applyBorder="1" applyAlignment="1">
      <alignment horizontal="right" vertical="center" indent="1"/>
    </xf>
    <xf numFmtId="43" fontId="29" fillId="0" borderId="29" xfId="1" applyFont="1" applyFill="1" applyBorder="1"/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90" applyFont="1" applyAlignment="1">
      <alignment horizontal="center"/>
    </xf>
    <xf numFmtId="0" fontId="28" fillId="0" borderId="0" xfId="0" applyFont="1" applyAlignment="1"/>
    <xf numFmtId="43" fontId="7" fillId="6" borderId="25" xfId="1" applyFont="1" applyFill="1" applyBorder="1" applyAlignment="1">
      <alignment horizontal="center"/>
    </xf>
    <xf numFmtId="4" fontId="7" fillId="0" borderId="25" xfId="0" applyNumberFormat="1" applyFont="1" applyBorder="1" applyAlignment="1">
      <alignment horizontal="right"/>
    </xf>
    <xf numFmtId="43" fontId="7" fillId="6" borderId="20" xfId="1" applyFont="1" applyFill="1" applyBorder="1" applyAlignment="1">
      <alignment horizontal="center"/>
    </xf>
    <xf numFmtId="2" fontId="7" fillId="6" borderId="20" xfId="0" applyNumberFormat="1" applyFont="1" applyFill="1" applyBorder="1" applyAlignment="1">
      <alignment horizontal="center"/>
    </xf>
    <xf numFmtId="2" fontId="7" fillId="0" borderId="0" xfId="90" applyNumberFormat="1" applyFont="1" applyFill="1" applyBorder="1" applyAlignment="1">
      <alignment horizontal="center"/>
    </xf>
    <xf numFmtId="43" fontId="7" fillId="6" borderId="20" xfId="1" applyFont="1" applyFill="1" applyBorder="1" applyAlignment="1"/>
    <xf numFmtId="4" fontId="7" fillId="0" borderId="16" xfId="0" applyNumberFormat="1" applyFont="1" applyBorder="1"/>
    <xf numFmtId="4" fontId="28" fillId="0" borderId="0" xfId="0" applyNumberFormat="1" applyFont="1" applyBorder="1"/>
    <xf numFmtId="4" fontId="28" fillId="0" borderId="24" xfId="0" applyNumberFormat="1" applyFont="1" applyBorder="1"/>
    <xf numFmtId="0" fontId="47" fillId="0" borderId="0" xfId="0" applyFont="1"/>
    <xf numFmtId="187" fontId="7" fillId="0" borderId="20" xfId="1" applyNumberFormat="1" applyFont="1" applyFill="1" applyBorder="1"/>
    <xf numFmtId="4" fontId="7" fillId="0" borderId="36" xfId="0" applyNumberFormat="1" applyFont="1" applyBorder="1" applyAlignment="1">
      <alignment horizontal="right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43" fontId="7" fillId="6" borderId="20" xfId="1" applyFont="1" applyFill="1" applyBorder="1" applyAlignment="1">
      <alignment horizontal="center"/>
    </xf>
    <xf numFmtId="0" fontId="48" fillId="0" borderId="27" xfId="0" applyFont="1" applyBorder="1" applyAlignment="1">
      <alignment horizontal="left"/>
    </xf>
    <xf numFmtId="0" fontId="48" fillId="0" borderId="2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201" fontId="7" fillId="6" borderId="17" xfId="0" applyNumberFormat="1" applyFont="1" applyFill="1" applyBorder="1" applyAlignment="1">
      <alignment horizontal="center" vertical="center"/>
    </xf>
    <xf numFmtId="201" fontId="7" fillId="6" borderId="14" xfId="0" applyNumberFormat="1" applyFont="1" applyFill="1" applyBorder="1" applyAlignment="1">
      <alignment horizontal="center" vertical="center"/>
    </xf>
    <xf numFmtId="201" fontId="7" fillId="6" borderId="18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0" borderId="2" xfId="104" applyFont="1" applyBorder="1" applyAlignment="1">
      <alignment horizontal="center" vertical="center"/>
    </xf>
    <xf numFmtId="0" fontId="28" fillId="0" borderId="4" xfId="104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28" fillId="0" borderId="2" xfId="104" applyNumberFormat="1" applyFont="1" applyBorder="1" applyAlignment="1">
      <alignment horizontal="center" vertical="center"/>
    </xf>
    <xf numFmtId="3" fontId="28" fillId="0" borderId="4" xfId="104" applyNumberFormat="1" applyFont="1" applyBorder="1" applyAlignment="1">
      <alignment horizontal="center" vertical="center"/>
    </xf>
    <xf numFmtId="4" fontId="28" fillId="0" borderId="5" xfId="104" applyNumberFormat="1" applyFont="1" applyBorder="1" applyAlignment="1">
      <alignment horizontal="center" vertical="center"/>
    </xf>
    <xf numFmtId="4" fontId="28" fillId="0" borderId="7" xfId="104" applyNumberFormat="1" applyFont="1" applyBorder="1" applyAlignment="1">
      <alignment horizontal="center" vertical="center"/>
    </xf>
    <xf numFmtId="4" fontId="28" fillId="0" borderId="10" xfId="104" applyNumberFormat="1" applyFont="1" applyBorder="1" applyAlignment="1">
      <alignment horizontal="center" vertical="center"/>
    </xf>
    <xf numFmtId="4" fontId="28" fillId="0" borderId="12" xfId="104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7" fillId="0" borderId="8" xfId="1" applyFont="1" applyFill="1" applyBorder="1" applyAlignment="1">
      <alignment horizontal="center" vertical="center"/>
    </xf>
    <xf numFmtId="43" fontId="7" fillId="0" borderId="9" xfId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3" fontId="7" fillId="0" borderId="20" xfId="1" applyFont="1" applyFill="1" applyBorder="1" applyAlignment="1">
      <alignment horizontal="center"/>
    </xf>
    <xf numFmtId="43" fontId="7" fillId="6" borderId="20" xfId="1" applyFont="1" applyFill="1" applyBorder="1" applyAlignment="1">
      <alignment horizontal="center"/>
    </xf>
    <xf numFmtId="43" fontId="7" fillId="0" borderId="25" xfId="1" applyFont="1" applyBorder="1" applyAlignment="1">
      <alignment horizontal="center"/>
    </xf>
    <xf numFmtId="43" fontId="7" fillId="0" borderId="20" xfId="1" applyFont="1" applyBorder="1" applyAlignment="1">
      <alignment horizontal="center"/>
    </xf>
    <xf numFmtId="4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4" fontId="7" fillId="6" borderId="19" xfId="90" applyNumberFormat="1" applyFont="1" applyFill="1" applyBorder="1" applyAlignment="1">
      <alignment horizontal="center"/>
    </xf>
    <xf numFmtId="4" fontId="7" fillId="0" borderId="21" xfId="90" applyNumberFormat="1" applyFont="1" applyFill="1" applyBorder="1" applyAlignment="1">
      <alignment horizontal="center"/>
    </xf>
    <xf numFmtId="4" fontId="7" fillId="0" borderId="19" xfId="90" applyNumberFormat="1" applyFont="1" applyFill="1" applyBorder="1" applyAlignment="1">
      <alignment horizontal="center"/>
    </xf>
    <xf numFmtId="0" fontId="7" fillId="0" borderId="0" xfId="90" applyFont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2" fontId="7" fillId="0" borderId="19" xfId="90" applyNumberFormat="1" applyFont="1" applyFill="1" applyBorder="1" applyAlignment="1">
      <alignment horizontal="center"/>
    </xf>
    <xf numFmtId="2" fontId="7" fillId="6" borderId="19" xfId="90" applyNumberFormat="1" applyFont="1" applyFill="1" applyBorder="1" applyAlignment="1">
      <alignment horizontal="center"/>
    </xf>
    <xf numFmtId="43" fontId="7" fillId="6" borderId="19" xfId="1" applyFont="1" applyFill="1" applyBorder="1" applyAlignment="1">
      <alignment horizontal="center"/>
    </xf>
    <xf numFmtId="43" fontId="7" fillId="0" borderId="21" xfId="1" applyFont="1" applyFill="1" applyBorder="1" applyAlignment="1">
      <alignment horizontal="center"/>
    </xf>
    <xf numFmtId="0" fontId="7" fillId="0" borderId="2" xfId="90" applyFont="1" applyBorder="1" applyAlignment="1">
      <alignment horizontal="center" vertical="center"/>
    </xf>
    <xf numFmtId="0" fontId="7" fillId="0" borderId="4" xfId="90" applyFont="1" applyBorder="1" applyAlignment="1">
      <alignment horizontal="center" vertical="center"/>
    </xf>
    <xf numFmtId="0" fontId="7" fillId="0" borderId="5" xfId="90" applyFont="1" applyBorder="1" applyAlignment="1">
      <alignment horizontal="center" vertical="center"/>
    </xf>
    <xf numFmtId="0" fontId="7" fillId="0" borderId="6" xfId="90" applyFont="1" applyBorder="1" applyAlignment="1">
      <alignment horizontal="center" vertical="center"/>
    </xf>
    <xf numFmtId="0" fontId="7" fillId="0" borderId="10" xfId="90" applyFont="1" applyBorder="1" applyAlignment="1">
      <alignment horizontal="center" vertical="center"/>
    </xf>
    <xf numFmtId="0" fontId="7" fillId="0" borderId="11" xfId="90" applyFont="1" applyBorder="1" applyAlignment="1">
      <alignment horizontal="center" vertical="center"/>
    </xf>
    <xf numFmtId="0" fontId="7" fillId="0" borderId="13" xfId="90" applyFont="1" applyBorder="1" applyAlignment="1">
      <alignment horizontal="center"/>
    </xf>
    <xf numFmtId="0" fontId="7" fillId="0" borderId="15" xfId="90" applyFont="1" applyBorder="1" applyAlignment="1">
      <alignment horizontal="center"/>
    </xf>
    <xf numFmtId="43" fontId="7" fillId="0" borderId="0" xfId="0" applyNumberFormat="1" applyFont="1" applyAlignment="1">
      <alignment horizontal="center"/>
    </xf>
    <xf numFmtId="43" fontId="7" fillId="0" borderId="0" xfId="1" applyNumberFormat="1" applyFont="1" applyFill="1" applyBorder="1" applyAlignment="1">
      <alignment horizontal="right"/>
    </xf>
    <xf numFmtId="43" fontId="7" fillId="6" borderId="0" xfId="1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2" fontId="7" fillId="6" borderId="11" xfId="1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20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20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01" fontId="7" fillId="0" borderId="17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1" fontId="7" fillId="0" borderId="18" xfId="0" applyNumberFormat="1" applyFont="1" applyFill="1" applyBorder="1" applyAlignment="1">
      <alignment horizontal="center" vertical="center"/>
    </xf>
  </cellXfs>
  <cellStyles count="106">
    <cellStyle name=",;F'KOIT[[WAAHK" xfId="2"/>
    <cellStyle name="?? [0.00]_????" xfId="3"/>
    <cellStyle name="?? [0]_PERSONAL" xfId="4"/>
    <cellStyle name="???? [0.00]_????" xfId="5"/>
    <cellStyle name="??????[0]_PERSONAL" xfId="6"/>
    <cellStyle name="??????PERSONAL" xfId="7"/>
    <cellStyle name="?????[0]_PERSONAL" xfId="8"/>
    <cellStyle name="?????PERSONAL" xfId="9"/>
    <cellStyle name="?????PERSONAL 2" xfId="68"/>
    <cellStyle name="????_????" xfId="10"/>
    <cellStyle name="???[0]_PERSONAL" xfId="11"/>
    <cellStyle name="???_PERSONAL" xfId="12"/>
    <cellStyle name="??_??" xfId="13"/>
    <cellStyle name="?@??laroux" xfId="14"/>
    <cellStyle name="=C:\WINDOWS\SYSTEM32\COMMAND.COM" xfId="15"/>
    <cellStyle name="abc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0) 2" xfId="69"/>
    <cellStyle name="Calc Units (1)" xfId="23"/>
    <cellStyle name="Calc Units (1) 2" xfId="70"/>
    <cellStyle name="Calc Units (2)" xfId="24"/>
    <cellStyle name="Comma" xfId="1" builtinId="3"/>
    <cellStyle name="Comma [00]" xfId="25"/>
    <cellStyle name="Comma [00] 2" xfId="71"/>
    <cellStyle name="Comma 6" xfId="26"/>
    <cellStyle name="company_title" xfId="27"/>
    <cellStyle name="Currency [00]" xfId="28"/>
    <cellStyle name="Date Short" xfId="29"/>
    <cellStyle name="date_format" xfId="30"/>
    <cellStyle name="Enter Currency (0)" xfId="31"/>
    <cellStyle name="Enter Currency (0) 2" xfId="72"/>
    <cellStyle name="Enter Currency (2)" xfId="32"/>
    <cellStyle name="Enter Units (0)" xfId="33"/>
    <cellStyle name="Enter Units (0) 2" xfId="73"/>
    <cellStyle name="Enter Units (1)" xfId="34"/>
    <cellStyle name="Enter Units (1) 2" xfId="74"/>
    <cellStyle name="Enter Units (2)" xfId="35"/>
    <cellStyle name="Grey" xfId="36"/>
    <cellStyle name="Header1" xfId="37"/>
    <cellStyle name="Header2" xfId="38"/>
    <cellStyle name="Input [yellow]" xfId="39"/>
    <cellStyle name="Link Currency (0)" xfId="40"/>
    <cellStyle name="Link Currency (0) 2" xfId="75"/>
    <cellStyle name="Link Currency (2)" xfId="41"/>
    <cellStyle name="Link Units (0)" xfId="42"/>
    <cellStyle name="Link Units (0) 2" xfId="76"/>
    <cellStyle name="Link Units (1)" xfId="43"/>
    <cellStyle name="Link Units (1) 2" xfId="77"/>
    <cellStyle name="Link Units (2)" xfId="44"/>
    <cellStyle name="no dec" xfId="45"/>
    <cellStyle name="Normal" xfId="0" builtinId="0"/>
    <cellStyle name="Normal - Style1" xfId="46"/>
    <cellStyle name="Normal - Style1 2" xfId="79"/>
    <cellStyle name="Normal 4" xfId="47"/>
    <cellStyle name="Nor聭al_ภาคกลาง" xfId="48"/>
    <cellStyle name="ParaBirimi [0]_RESULTS" xfId="49"/>
    <cellStyle name="ParaBirimi_RESULTS" xfId="50"/>
    <cellStyle name="Percent [0]" xfId="51"/>
    <cellStyle name="Percent [00]" xfId="52"/>
    <cellStyle name="Percent [2]" xfId="53"/>
    <cellStyle name="PrePop Currency (0)" xfId="54"/>
    <cellStyle name="PrePop Currency (0) 2" xfId="82"/>
    <cellStyle name="PrePop Currency (2)" xfId="55"/>
    <cellStyle name="PrePop Units (0)" xfId="56"/>
    <cellStyle name="PrePop Units (0) 2" xfId="83"/>
    <cellStyle name="PrePop Units (1)" xfId="57"/>
    <cellStyle name="PrePop Units (1) 2" xfId="84"/>
    <cellStyle name="PrePop Units (2)" xfId="58"/>
    <cellStyle name="report_title" xfId="59"/>
    <cellStyle name="Text Indent A" xfId="60"/>
    <cellStyle name="Text Indent B" xfId="61"/>
    <cellStyle name="Text Indent C" xfId="62"/>
    <cellStyle name="Virg? [0]_RESULTS" xfId="63"/>
    <cellStyle name="Virg?_RESULTS" xfId="64"/>
    <cellStyle name="เครื่องหมายจุลภาค 2 2" xfId="85"/>
    <cellStyle name="เครื่องหมายจุลภาค 3 2" xfId="86"/>
    <cellStyle name="เครื่องหมายจุลภาค 4 2" xfId="87"/>
    <cellStyle name="เครื่องหมายจุลภาค 5 2" xfId="88"/>
    <cellStyle name="เครื่องหมายจุลภาค 6" xfId="65"/>
    <cellStyle name="เครื่องหมายจุลภาค 6 2" xfId="89"/>
    <cellStyle name="ปกติ 2 10" xfId="103"/>
    <cellStyle name="ปกติ 2 2" xfId="66"/>
    <cellStyle name="ปกติ 2 2 2" xfId="91"/>
    <cellStyle name="ปกติ 2 3" xfId="78"/>
    <cellStyle name="ปกติ 2 4" xfId="81"/>
    <cellStyle name="ปกติ 2 5" xfId="90"/>
    <cellStyle name="ปกติ 2 6" xfId="97"/>
    <cellStyle name="ปกติ 2 7" xfId="99"/>
    <cellStyle name="ปกติ 2 8" xfId="101"/>
    <cellStyle name="ปกติ 2 9" xfId="102"/>
    <cellStyle name="ปกติ 3 2" xfId="92"/>
    <cellStyle name="ปกติ 4" xfId="80"/>
    <cellStyle name="ปกติ 4 2" xfId="93"/>
    <cellStyle name="ปกติ 5 2" xfId="94"/>
    <cellStyle name="ปกติ 6" xfId="67"/>
    <cellStyle name="ปกติ 6 2" xfId="95"/>
    <cellStyle name="ปกติ 8" xfId="98"/>
    <cellStyle name="ปกติ 9" xfId="100"/>
    <cellStyle name="ปกติ_BOQ-BANG-NGA 2" xfId="104"/>
    <cellStyle name="ปกติ_ค่า Fบางนา" xfId="105"/>
    <cellStyle name="เปอร์เซ็นต์ 2" xfId="9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2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114300</xdr:colOff>
      <xdr:row>15</xdr:row>
      <xdr:rowOff>19050</xdr:rowOff>
    </xdr:from>
    <xdr:to>
      <xdr:col>10</xdr:col>
      <xdr:colOff>247650</xdr:colOff>
      <xdr:row>15</xdr:row>
      <xdr:rowOff>228600</xdr:rowOff>
    </xdr:to>
    <xdr:sp macro="" textlink="">
      <xdr:nvSpPr>
        <xdr:cNvPr id="3" name="Text Box 234"/>
        <xdr:cNvSpPr txBox="1">
          <a:spLocks noChangeArrowheads="1"/>
        </xdr:cNvSpPr>
      </xdr:nvSpPr>
      <xdr:spPr bwMode="auto">
        <a:xfrm>
          <a:off x="2905125" y="3505200"/>
          <a:ext cx="1666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4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5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114300</xdr:colOff>
      <xdr:row>15</xdr:row>
      <xdr:rowOff>19050</xdr:rowOff>
    </xdr:from>
    <xdr:to>
      <xdr:col>10</xdr:col>
      <xdr:colOff>247650</xdr:colOff>
      <xdr:row>15</xdr:row>
      <xdr:rowOff>228600</xdr:rowOff>
    </xdr:to>
    <xdr:sp macro="" textlink="">
      <xdr:nvSpPr>
        <xdr:cNvPr id="6" name="Text Box 234"/>
        <xdr:cNvSpPr txBox="1">
          <a:spLocks noChangeArrowheads="1"/>
        </xdr:cNvSpPr>
      </xdr:nvSpPr>
      <xdr:spPr bwMode="auto">
        <a:xfrm>
          <a:off x="2905125" y="3505200"/>
          <a:ext cx="1666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7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view="pageBreakPreview" topLeftCell="A22" zoomScale="110" zoomScaleNormal="100" zoomScaleSheetLayoutView="110" workbookViewId="0">
      <selection activeCell="C15" sqref="C15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20.125" style="1" customWidth="1"/>
    <col min="6" max="6" width="6.8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3.375" style="1" customWidth="1"/>
    <col min="15" max="15" width="9" style="1"/>
    <col min="16" max="16" width="12.25" style="1" bestFit="1" customWidth="1"/>
    <col min="17" max="16384" width="9" style="1"/>
  </cols>
  <sheetData>
    <row r="1" spans="1:14">
      <c r="A1" s="263" t="s">
        <v>33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4">
      <c r="A3" s="1" t="str">
        <f>ค่าวัสดุและดำเนินการ!A3</f>
        <v>โครงการ      : ก่อสร้างถนน คสล. ซอยบ้านนายศรีจันทร์</v>
      </c>
      <c r="J3" s="1" t="str">
        <f>ค่าวัสดุและดำเนินการ!H3</f>
        <v>ตามแบบมาตรฐานถนน คสล. เลขที่ ท.1-01</v>
      </c>
    </row>
    <row r="4" spans="1:14">
      <c r="A4" s="1" t="str">
        <f>ค่าวัสดุและดำเนินการ!A4</f>
        <v xml:space="preserve">ปริมาณงาน   : 1. ก่อสร้างถนนคสล. ขนาดกว้าง 5.00 เมตร  ยาว 167.00 เมตร  หนา 0.15 เมตร พร้อมไหล่ทาง 2 ข้าง  กว้างเฉลี่ย 0.30 เมตร </v>
      </c>
    </row>
    <row r="5" spans="1:14">
      <c r="A5" s="1" t="str">
        <f>ค่าวัสดุและดำเนินการ!A5</f>
        <v xml:space="preserve">                   2. วางท่อ คสล. ขนาด Ø 0.30 ม.  จำนวน 11.00 ท่อน  พร้อมบ่อพักน้ำ 1 บ่อ</v>
      </c>
    </row>
    <row r="6" spans="1:14">
      <c r="A6" s="1" t="str">
        <f>ค่าวัสดุและดำเนินการ!A6</f>
        <v>ที่ตั้งโครงการ : ค้างฮ้อ  หมู่ที่ 3  ตำบลป่ากลาง  อำเภอปัว  จังหวัดน่าน</v>
      </c>
      <c r="G6" s="1" t="str">
        <f>ค่าวัสดุและดำเนินการ!G6</f>
        <v>เขตฝนตกปกติ   ราคาน้ำมันโซล่าเฉลี่ยที่อำเภอเมือง  30.00 - 30.99  บาท/ลิตร</v>
      </c>
    </row>
    <row r="7" spans="1:14">
      <c r="A7" s="1" t="str">
        <f>ค่าวัสดุและดำเนินการ!A7</f>
        <v>อัตราดอกเบี้ยเงินกู้ (MLR)   6 %</v>
      </c>
      <c r="G7" s="1" t="str">
        <f>ค่าวัสดุและดำเนินการ!G7</f>
        <v>เงินล่วงหน้าจ่าย   15  %</v>
      </c>
    </row>
    <row r="8" spans="1:14">
      <c r="A8" s="1" t="str">
        <f>ค่าวัสดุและดำเนินการ!A8</f>
        <v>เงินประกันผลงานหัก        0 %</v>
      </c>
      <c r="G8" s="1" t="str">
        <f>ค่าวัสดุและดำเนินการ!G8</f>
        <v>ภาษีมูลค่าเพิ่ม     7  %</v>
      </c>
    </row>
    <row r="9" spans="1:14">
      <c r="A9" s="1" t="s">
        <v>305</v>
      </c>
      <c r="G9" s="1" t="s">
        <v>246</v>
      </c>
    </row>
    <row r="10" spans="1:14">
      <c r="A10" s="264" t="s">
        <v>23</v>
      </c>
      <c r="B10" s="266" t="s">
        <v>0</v>
      </c>
      <c r="C10" s="266"/>
      <c r="D10" s="266"/>
      <c r="E10" s="267"/>
      <c r="F10" s="264" t="s">
        <v>1</v>
      </c>
      <c r="G10" s="270" t="s">
        <v>24</v>
      </c>
      <c r="H10" s="272" t="s">
        <v>68</v>
      </c>
      <c r="I10" s="273"/>
      <c r="J10" s="272" t="s">
        <v>25</v>
      </c>
      <c r="K10" s="273"/>
      <c r="L10" s="276" t="s">
        <v>26</v>
      </c>
      <c r="M10" s="21" t="s">
        <v>27</v>
      </c>
      <c r="N10" s="276" t="s">
        <v>75</v>
      </c>
    </row>
    <row r="11" spans="1:14">
      <c r="A11" s="265"/>
      <c r="B11" s="268"/>
      <c r="C11" s="268"/>
      <c r="D11" s="268"/>
      <c r="E11" s="269"/>
      <c r="F11" s="265"/>
      <c r="G11" s="271"/>
      <c r="H11" s="274" t="s">
        <v>69</v>
      </c>
      <c r="I11" s="275"/>
      <c r="J11" s="274"/>
      <c r="K11" s="275"/>
      <c r="L11" s="277"/>
      <c r="M11" s="22" t="s">
        <v>28</v>
      </c>
      <c r="N11" s="277"/>
    </row>
    <row r="12" spans="1:14">
      <c r="A12" s="126">
        <v>1</v>
      </c>
      <c r="B12" s="127" t="s">
        <v>300</v>
      </c>
      <c r="C12" s="24"/>
      <c r="D12" s="25"/>
      <c r="E12" s="26"/>
      <c r="F12" s="27"/>
      <c r="G12" s="28"/>
      <c r="H12" s="130"/>
      <c r="I12" s="131"/>
      <c r="J12" s="278"/>
      <c r="K12" s="279"/>
      <c r="L12" s="29"/>
      <c r="M12" s="29"/>
      <c r="N12" s="30"/>
    </row>
    <row r="13" spans="1:14">
      <c r="A13" s="126"/>
      <c r="B13" s="32" t="s">
        <v>301</v>
      </c>
      <c r="C13" s="32"/>
      <c r="D13" s="31"/>
      <c r="E13" s="33"/>
      <c r="F13" s="23" t="s">
        <v>22</v>
      </c>
      <c r="G13" s="28">
        <v>0</v>
      </c>
      <c r="H13" s="255">
        <v>1.73</v>
      </c>
      <c r="I13" s="256"/>
      <c r="J13" s="255">
        <f>ROUND(H13*G13,2)</f>
        <v>0</v>
      </c>
      <c r="K13" s="256"/>
      <c r="L13" s="34">
        <f>$J$38</f>
        <v>1.3592</v>
      </c>
      <c r="M13" s="43">
        <f>ROUNDDOWN(H13*L13,2)</f>
        <v>2.35</v>
      </c>
      <c r="N13" s="29">
        <f>ROUND(J13*L13,2)</f>
        <v>0</v>
      </c>
    </row>
    <row r="14" spans="1:14">
      <c r="A14" s="126">
        <v>2</v>
      </c>
      <c r="B14" s="128" t="s">
        <v>302</v>
      </c>
      <c r="C14" s="32"/>
      <c r="D14" s="31"/>
      <c r="E14" s="33"/>
      <c r="F14" s="23"/>
      <c r="G14" s="28"/>
      <c r="H14" s="241"/>
      <c r="I14" s="242"/>
      <c r="J14" s="241"/>
      <c r="K14" s="242"/>
      <c r="L14" s="34"/>
      <c r="M14" s="43"/>
      <c r="N14" s="29"/>
    </row>
    <row r="15" spans="1:14">
      <c r="A15" s="126"/>
      <c r="B15" s="32" t="s">
        <v>303</v>
      </c>
      <c r="C15" s="32"/>
      <c r="D15" s="31"/>
      <c r="E15" s="33"/>
      <c r="F15" s="23" t="s">
        <v>22</v>
      </c>
      <c r="G15" s="28">
        <v>835</v>
      </c>
      <c r="H15" s="255">
        <v>10.94</v>
      </c>
      <c r="I15" s="256"/>
      <c r="J15" s="255">
        <f>ROUND(H15*G15,2)</f>
        <v>9134.9</v>
      </c>
      <c r="K15" s="256"/>
      <c r="L15" s="34">
        <f>$J$38</f>
        <v>1.3592</v>
      </c>
      <c r="M15" s="43">
        <f>ROUNDDOWN(H15*L15,2)</f>
        <v>14.86</v>
      </c>
      <c r="N15" s="29">
        <f>ROUND(J15*L15,2)</f>
        <v>12416.16</v>
      </c>
    </row>
    <row r="16" spans="1:14">
      <c r="A16" s="126">
        <v>3</v>
      </c>
      <c r="B16" s="128" t="s">
        <v>186</v>
      </c>
      <c r="C16" s="32"/>
      <c r="D16" s="31"/>
      <c r="E16" s="33"/>
      <c r="F16" s="23"/>
      <c r="G16" s="28"/>
      <c r="H16" s="241"/>
      <c r="I16" s="242"/>
      <c r="J16" s="241"/>
      <c r="K16" s="242"/>
      <c r="L16" s="34"/>
      <c r="M16" s="43"/>
      <c r="N16" s="29"/>
    </row>
    <row r="17" spans="1:17">
      <c r="A17" s="126"/>
      <c r="B17" s="32" t="s">
        <v>307</v>
      </c>
      <c r="C17" s="32"/>
      <c r="D17" s="31"/>
      <c r="E17" s="33"/>
      <c r="F17" s="23" t="s">
        <v>20</v>
      </c>
      <c r="G17" s="28">
        <v>0</v>
      </c>
      <c r="H17" s="255">
        <v>0</v>
      </c>
      <c r="I17" s="256"/>
      <c r="J17" s="255">
        <f>ROUND(H17*G17,2)</f>
        <v>0</v>
      </c>
      <c r="K17" s="256"/>
      <c r="L17" s="34">
        <f>$J$38</f>
        <v>1.3592</v>
      </c>
      <c r="M17" s="43">
        <f>ROUND(H17*L17,2)</f>
        <v>0</v>
      </c>
      <c r="N17" s="29">
        <f>ROUND(J17*L17,2)</f>
        <v>0</v>
      </c>
      <c r="Q17" s="173"/>
    </row>
    <row r="18" spans="1:17">
      <c r="A18" s="126"/>
      <c r="B18" s="32" t="s">
        <v>308</v>
      </c>
      <c r="C18" s="32"/>
      <c r="D18" s="31"/>
      <c r="E18" s="33"/>
      <c r="F18" s="23" t="s">
        <v>20</v>
      </c>
      <c r="G18" s="28">
        <v>0</v>
      </c>
      <c r="H18" s="255">
        <f>ค่าวัสดุและดำเนินการ!K23</f>
        <v>120</v>
      </c>
      <c r="I18" s="256"/>
      <c r="J18" s="255">
        <f>ROUND(H18*G18,2)</f>
        <v>0</v>
      </c>
      <c r="K18" s="256"/>
      <c r="L18" s="34">
        <f>$J$38</f>
        <v>1.3592</v>
      </c>
      <c r="M18" s="43">
        <f>ROUND(H18*L18,2)</f>
        <v>163.1</v>
      </c>
      <c r="N18" s="29">
        <f>ROUND(J18*L18,2)</f>
        <v>0</v>
      </c>
    </row>
    <row r="19" spans="1:17">
      <c r="A19" s="126">
        <v>4</v>
      </c>
      <c r="B19" s="128" t="s">
        <v>187</v>
      </c>
      <c r="C19" s="32"/>
      <c r="D19" s="31"/>
      <c r="E19" s="33"/>
      <c r="F19" s="27"/>
      <c r="G19" s="36"/>
      <c r="H19" s="43"/>
      <c r="I19" s="129"/>
      <c r="J19" s="255"/>
      <c r="K19" s="256"/>
      <c r="L19" s="34"/>
      <c r="M19" s="43"/>
      <c r="N19" s="29"/>
    </row>
    <row r="20" spans="1:17">
      <c r="A20" s="126"/>
      <c r="B20" s="32" t="s">
        <v>309</v>
      </c>
      <c r="C20" s="32"/>
      <c r="D20" s="31"/>
      <c r="E20" s="33" t="s">
        <v>225</v>
      </c>
      <c r="F20" s="23" t="s">
        <v>20</v>
      </c>
      <c r="G20" s="28">
        <v>41</v>
      </c>
      <c r="H20" s="255">
        <f>ทรายหยาบรองใต้ผิวคอนกรีต!I8</f>
        <v>645</v>
      </c>
      <c r="I20" s="256"/>
      <c r="J20" s="255">
        <f>ROUND(H20*G20,2)</f>
        <v>26445</v>
      </c>
      <c r="K20" s="256"/>
      <c r="L20" s="34">
        <f>$J$38</f>
        <v>1.3592</v>
      </c>
      <c r="M20" s="43">
        <f>ROUND(H20*L20,2)</f>
        <v>876.68</v>
      </c>
      <c r="N20" s="29">
        <f>ROUND(J20*L20,2)</f>
        <v>35944.04</v>
      </c>
    </row>
    <row r="21" spans="1:17">
      <c r="A21" s="126">
        <v>5</v>
      </c>
      <c r="B21" s="128" t="s">
        <v>188</v>
      </c>
      <c r="C21" s="32"/>
      <c r="D21" s="31"/>
      <c r="E21" s="33"/>
      <c r="F21" s="27"/>
      <c r="G21" s="36"/>
      <c r="H21" s="184"/>
      <c r="I21" s="185"/>
      <c r="J21" s="184"/>
      <c r="K21" s="185"/>
      <c r="L21" s="34"/>
      <c r="M21" s="43"/>
      <c r="N21" s="29"/>
    </row>
    <row r="22" spans="1:17">
      <c r="A22" s="126"/>
      <c r="B22" s="32" t="s">
        <v>310</v>
      </c>
      <c r="C22" s="32"/>
      <c r="D22" s="31"/>
      <c r="E22" s="33"/>
      <c r="F22" s="23" t="s">
        <v>22</v>
      </c>
      <c r="G22" s="28">
        <v>835</v>
      </c>
      <c r="H22" s="255">
        <f>ผิวทางคอนกรีตผสมเสร็จ!P18</f>
        <v>413</v>
      </c>
      <c r="I22" s="256"/>
      <c r="J22" s="255">
        <f>ROUND(H22*G22,2)</f>
        <v>344855</v>
      </c>
      <c r="K22" s="256"/>
      <c r="L22" s="34">
        <f>$J$38</f>
        <v>1.3592</v>
      </c>
      <c r="M22" s="43">
        <f>ROUND(H22*L22,2)</f>
        <v>561.35</v>
      </c>
      <c r="N22" s="29">
        <f>ROUND(J22*L22,2)</f>
        <v>468726.92</v>
      </c>
    </row>
    <row r="23" spans="1:17">
      <c r="A23" s="126"/>
      <c r="B23" s="32" t="s">
        <v>311</v>
      </c>
      <c r="C23" s="32"/>
      <c r="D23" s="31"/>
      <c r="E23" s="33"/>
      <c r="F23" s="23" t="s">
        <v>34</v>
      </c>
      <c r="G23" s="28">
        <v>15</v>
      </c>
      <c r="H23" s="255">
        <f>รอยต่อ!N11</f>
        <v>163</v>
      </c>
      <c r="I23" s="256"/>
      <c r="J23" s="255">
        <f>ROUND(H23*G23,2)</f>
        <v>2445</v>
      </c>
      <c r="K23" s="256"/>
      <c r="L23" s="34">
        <f>$J$38</f>
        <v>1.3592</v>
      </c>
      <c r="M23" s="43">
        <f>ROUND(H23*L23,2)</f>
        <v>221.55</v>
      </c>
      <c r="N23" s="29">
        <f>ROUND(J23*L23,2)</f>
        <v>3323.24</v>
      </c>
    </row>
    <row r="24" spans="1:17">
      <c r="A24" s="126"/>
      <c r="B24" s="32" t="s">
        <v>312</v>
      </c>
      <c r="C24" s="32"/>
      <c r="D24" s="31"/>
      <c r="E24" s="33"/>
      <c r="F24" s="23" t="s">
        <v>34</v>
      </c>
      <c r="G24" s="28">
        <v>65</v>
      </c>
      <c r="H24" s="255">
        <f>รอยต่อ!N21</f>
        <v>60</v>
      </c>
      <c r="I24" s="256"/>
      <c r="J24" s="255">
        <f>ROUND(H24*G24,2)</f>
        <v>3900</v>
      </c>
      <c r="K24" s="256"/>
      <c r="L24" s="34">
        <f>$J$38</f>
        <v>1.3592</v>
      </c>
      <c r="M24" s="43">
        <f>ROUND(H24*L24,2)</f>
        <v>81.55</v>
      </c>
      <c r="N24" s="29">
        <f>ROUND(J24*L24,2)</f>
        <v>5300.88</v>
      </c>
    </row>
    <row r="25" spans="1:17">
      <c r="A25" s="126"/>
      <c r="B25" s="32" t="s">
        <v>313</v>
      </c>
      <c r="C25" s="32"/>
      <c r="D25" s="31"/>
      <c r="E25" s="33"/>
      <c r="F25" s="23" t="s">
        <v>34</v>
      </c>
      <c r="G25" s="28">
        <v>167</v>
      </c>
      <c r="H25" s="255">
        <f>รอยต่อ!N30</f>
        <v>66</v>
      </c>
      <c r="I25" s="256"/>
      <c r="J25" s="255">
        <f>ROUND(H25*G25,2)</f>
        <v>11022</v>
      </c>
      <c r="K25" s="256"/>
      <c r="L25" s="34">
        <f>$J$38</f>
        <v>1.3592</v>
      </c>
      <c r="M25" s="43">
        <f>ROUND(H25*L25,2)</f>
        <v>89.71</v>
      </c>
      <c r="N25" s="29">
        <f>ROUND(J25*L25,2)</f>
        <v>14981.1</v>
      </c>
    </row>
    <row r="26" spans="1:17">
      <c r="A26" s="126">
        <v>6</v>
      </c>
      <c r="B26" s="128" t="s">
        <v>189</v>
      </c>
      <c r="C26" s="32"/>
      <c r="D26" s="31"/>
      <c r="E26" s="33"/>
      <c r="F26" s="27"/>
      <c r="G26" s="36"/>
      <c r="H26" s="218"/>
      <c r="I26" s="219"/>
      <c r="J26" s="218"/>
      <c r="K26" s="219"/>
      <c r="L26" s="34"/>
      <c r="M26" s="43"/>
      <c r="N26" s="29"/>
    </row>
    <row r="27" spans="1:17">
      <c r="A27" s="126"/>
      <c r="B27" s="32" t="s">
        <v>314</v>
      </c>
      <c r="C27" s="32"/>
      <c r="D27" s="31"/>
      <c r="E27" s="33"/>
      <c r="F27" s="23" t="s">
        <v>20</v>
      </c>
      <c r="G27" s="28">
        <v>15</v>
      </c>
      <c r="H27" s="255">
        <f>ค่าวัสดุและดำเนินการ!F23</f>
        <v>120</v>
      </c>
      <c r="I27" s="256"/>
      <c r="J27" s="255">
        <f>ROUND(H27*G27,2)</f>
        <v>1800</v>
      </c>
      <c r="K27" s="256"/>
      <c r="L27" s="34">
        <f>$J$38</f>
        <v>1.3592</v>
      </c>
      <c r="M27" s="43">
        <f>ROUND(H27*L27,2)</f>
        <v>163.1</v>
      </c>
      <c r="N27" s="29">
        <f>ROUND(J27*L27,2)</f>
        <v>2446.56</v>
      </c>
    </row>
    <row r="28" spans="1:17">
      <c r="A28" s="126">
        <v>7</v>
      </c>
      <c r="B28" s="128" t="s">
        <v>215</v>
      </c>
      <c r="C28" s="32"/>
      <c r="D28" s="31"/>
      <c r="E28" s="33"/>
      <c r="F28" s="27"/>
      <c r="G28" s="36"/>
      <c r="H28" s="224"/>
      <c r="I28" s="225"/>
      <c r="J28" s="224"/>
      <c r="K28" s="225"/>
      <c r="L28" s="34"/>
      <c r="M28" s="43"/>
      <c r="N28" s="29"/>
    </row>
    <row r="29" spans="1:17">
      <c r="A29" s="126"/>
      <c r="B29" s="32" t="s">
        <v>315</v>
      </c>
      <c r="C29" s="32"/>
      <c r="D29" s="31"/>
      <c r="E29" s="33"/>
      <c r="F29" s="23" t="s">
        <v>174</v>
      </c>
      <c r="G29" s="28">
        <v>11</v>
      </c>
      <c r="H29" s="255">
        <f>ท่อ!N9</f>
        <v>551</v>
      </c>
      <c r="I29" s="256"/>
      <c r="J29" s="255">
        <f>ROUND(H29*G29,2)</f>
        <v>6061</v>
      </c>
      <c r="K29" s="256"/>
      <c r="L29" s="34">
        <f>$J$38</f>
        <v>1.3592</v>
      </c>
      <c r="M29" s="43">
        <f>ROUND(H29*L29,2)</f>
        <v>748.92</v>
      </c>
      <c r="N29" s="29">
        <f>ROUND(J29*L29,2)</f>
        <v>8238.11</v>
      </c>
    </row>
    <row r="30" spans="1:17">
      <c r="A30" s="126">
        <v>8</v>
      </c>
      <c r="B30" s="128" t="s">
        <v>263</v>
      </c>
      <c r="C30" s="32"/>
      <c r="D30" s="31"/>
      <c r="E30" s="33"/>
      <c r="F30" s="27"/>
      <c r="G30" s="36"/>
      <c r="H30" s="224"/>
      <c r="I30" s="225"/>
      <c r="J30" s="224"/>
      <c r="K30" s="225"/>
      <c r="L30" s="34"/>
      <c r="M30" s="43"/>
      <c r="N30" s="29"/>
    </row>
    <row r="31" spans="1:17">
      <c r="A31" s="126"/>
      <c r="B31" s="32" t="s">
        <v>316</v>
      </c>
      <c r="C31" s="32"/>
      <c r="D31" s="31"/>
      <c r="E31" s="33"/>
      <c r="F31" s="23" t="s">
        <v>280</v>
      </c>
      <c r="G31" s="28">
        <v>1</v>
      </c>
      <c r="H31" s="281">
        <f>บ่อพักน้ำ!N25</f>
        <v>3754.56</v>
      </c>
      <c r="I31" s="282"/>
      <c r="J31" s="255">
        <f>ROUND(H31*G31,2)</f>
        <v>3754.56</v>
      </c>
      <c r="K31" s="256"/>
      <c r="L31" s="34">
        <f>$J$38</f>
        <v>1.3592</v>
      </c>
      <c r="M31" s="43">
        <f>ROUND(H31*L31,2)</f>
        <v>5103.2</v>
      </c>
      <c r="N31" s="29">
        <f>ROUND(J31*L31,2)</f>
        <v>5103.2</v>
      </c>
    </row>
    <row r="32" spans="1:17">
      <c r="A32" s="243">
        <v>9</v>
      </c>
      <c r="B32" s="132" t="s">
        <v>74</v>
      </c>
      <c r="C32" s="132"/>
      <c r="D32" s="133"/>
      <c r="E32" s="134"/>
      <c r="F32" s="135"/>
      <c r="G32" s="136"/>
      <c r="H32" s="137"/>
      <c r="I32" s="138"/>
      <c r="J32" s="137"/>
      <c r="K32" s="138"/>
      <c r="L32" s="42"/>
      <c r="M32" s="37"/>
      <c r="N32" s="29"/>
    </row>
    <row r="33" spans="1:16">
      <c r="A33" s="16"/>
      <c r="B33" s="16"/>
      <c r="C33" s="38"/>
      <c r="D33" s="39"/>
      <c r="E33" s="39"/>
      <c r="F33" s="16"/>
      <c r="G33" s="186"/>
      <c r="H33" s="186"/>
      <c r="I33" s="16"/>
      <c r="J33" s="16"/>
      <c r="K33" s="40"/>
      <c r="L33" s="15"/>
      <c r="M33" s="38" t="s">
        <v>190</v>
      </c>
      <c r="N33" s="140">
        <f>ROUND((SUM(N12:N32)),2)</f>
        <v>556480.21</v>
      </c>
    </row>
    <row r="34" spans="1:16" ht="21.75" thickBot="1">
      <c r="A34" s="16"/>
      <c r="B34" s="16"/>
      <c r="C34" s="38"/>
      <c r="D34" s="39"/>
      <c r="E34" s="39"/>
      <c r="F34" s="16"/>
      <c r="G34" s="186"/>
      <c r="H34" s="186"/>
      <c r="I34" s="16"/>
      <c r="J34" s="16"/>
      <c r="K34" s="40"/>
      <c r="L34" s="15"/>
      <c r="M34" s="38" t="s">
        <v>259</v>
      </c>
      <c r="N34" s="139">
        <f>ROUNDDOWN(N33,2)</f>
        <v>556480.21</v>
      </c>
    </row>
    <row r="35" spans="1:16" ht="22.5" thickTop="1" thickBot="1">
      <c r="A35" s="15"/>
      <c r="B35" s="18" t="s">
        <v>29</v>
      </c>
      <c r="C35" s="19"/>
      <c r="D35" s="18"/>
      <c r="E35" s="18"/>
      <c r="H35" s="181"/>
      <c r="I35" s="15"/>
      <c r="J35" s="260">
        <f>SUM(J12:K32)</f>
        <v>409417.46</v>
      </c>
      <c r="K35" s="261"/>
      <c r="L35" s="262"/>
      <c r="M35" s="35"/>
      <c r="N35" s="41"/>
      <c r="P35" s="178">
        <f>J35*J38</f>
        <v>556480.21163200005</v>
      </c>
    </row>
    <row r="36" spans="1:16" ht="21.75" thickBot="1">
      <c r="A36" s="15"/>
      <c r="B36" s="18" t="s">
        <v>30</v>
      </c>
      <c r="C36" s="19"/>
      <c r="D36" s="18"/>
      <c r="E36" s="18"/>
      <c r="H36" s="181"/>
      <c r="I36" s="15"/>
      <c r="J36" s="260" t="s">
        <v>18</v>
      </c>
      <c r="K36" s="261"/>
      <c r="L36" s="262"/>
      <c r="M36" s="35"/>
      <c r="N36" s="41"/>
    </row>
    <row r="37" spans="1:16" ht="21.75" thickBot="1">
      <c r="A37" s="15"/>
      <c r="B37" s="18"/>
      <c r="C37" s="19"/>
      <c r="D37" s="18"/>
      <c r="E37" s="18"/>
      <c r="H37" s="181"/>
      <c r="I37" s="15"/>
      <c r="J37" s="183"/>
      <c r="K37" s="183"/>
      <c r="L37" s="183"/>
      <c r="M37" s="35"/>
      <c r="N37" s="41"/>
    </row>
    <row r="38" spans="1:16" ht="21.75" thickBot="1">
      <c r="A38" s="15"/>
      <c r="B38" s="18" t="s">
        <v>31</v>
      </c>
      <c r="C38" s="19"/>
      <c r="D38" s="18"/>
      <c r="E38" s="18"/>
      <c r="H38" s="181"/>
      <c r="I38" s="15"/>
      <c r="J38" s="257">
        <v>1.3592</v>
      </c>
      <c r="K38" s="258"/>
      <c r="L38" s="259"/>
      <c r="M38" s="35"/>
      <c r="N38" s="41"/>
    </row>
    <row r="39" spans="1:16" ht="21.75" thickBot="1">
      <c r="A39" s="15"/>
      <c r="B39" s="18" t="s">
        <v>32</v>
      </c>
      <c r="C39" s="19"/>
      <c r="D39" s="18"/>
      <c r="E39" s="18"/>
      <c r="H39" s="181"/>
      <c r="I39" s="15"/>
      <c r="J39" s="257" t="s">
        <v>18</v>
      </c>
      <c r="K39" s="258"/>
      <c r="L39" s="259"/>
      <c r="M39" s="35"/>
      <c r="N39" s="41"/>
    </row>
    <row r="40" spans="1:16" hidden="1">
      <c r="A40" s="15"/>
      <c r="B40" s="18"/>
      <c r="C40" s="19"/>
      <c r="D40" s="18"/>
      <c r="E40" s="18"/>
      <c r="H40" s="220"/>
      <c r="I40" s="15"/>
      <c r="J40" s="45"/>
      <c r="K40" s="45"/>
      <c r="L40" s="45"/>
      <c r="M40" s="35"/>
      <c r="N40" s="41"/>
    </row>
    <row r="41" spans="1:16" hidden="1">
      <c r="A41" s="15"/>
      <c r="B41" s="18"/>
      <c r="C41" s="19"/>
      <c r="D41" s="18"/>
      <c r="E41" s="18"/>
      <c r="H41" s="220"/>
      <c r="I41" s="15"/>
      <c r="J41" s="45"/>
      <c r="K41" s="45"/>
      <c r="L41" s="45"/>
      <c r="M41" s="35"/>
      <c r="N41" s="41"/>
    </row>
    <row r="42" spans="1:16" hidden="1">
      <c r="A42" s="15"/>
      <c r="B42" s="18"/>
      <c r="C42" s="19"/>
      <c r="D42" s="18"/>
      <c r="E42" s="18"/>
      <c r="H42" s="220"/>
      <c r="I42" s="15"/>
      <c r="J42" s="45"/>
      <c r="K42" s="45"/>
      <c r="L42" s="45"/>
      <c r="M42" s="35"/>
      <c r="N42" s="41"/>
    </row>
    <row r="43" spans="1:16" hidden="1">
      <c r="A43" s="20"/>
      <c r="B43" s="263" t="s">
        <v>247</v>
      </c>
      <c r="C43" s="263"/>
      <c r="D43" s="263"/>
      <c r="E43" s="263"/>
      <c r="F43" s="263"/>
      <c r="G43" s="3"/>
      <c r="H43" s="220"/>
      <c r="I43" s="220"/>
      <c r="J43" s="280" t="s">
        <v>248</v>
      </c>
      <c r="K43" s="280"/>
      <c r="L43" s="280"/>
      <c r="M43" s="280"/>
      <c r="N43" s="280"/>
    </row>
    <row r="44" spans="1:16" hidden="1">
      <c r="B44" s="254" t="s">
        <v>249</v>
      </c>
      <c r="C44" s="254"/>
      <c r="D44" s="254"/>
      <c r="E44" s="254"/>
      <c r="J44" s="254" t="s">
        <v>250</v>
      </c>
      <c r="K44" s="254"/>
      <c r="L44" s="254"/>
      <c r="M44" s="254"/>
    </row>
    <row r="45" spans="1:16" hidden="1">
      <c r="B45" s="254" t="s">
        <v>251</v>
      </c>
      <c r="C45" s="254"/>
      <c r="D45" s="254"/>
      <c r="E45" s="254"/>
      <c r="J45" s="254" t="s">
        <v>252</v>
      </c>
      <c r="K45" s="254"/>
      <c r="L45" s="254"/>
      <c r="M45" s="254"/>
    </row>
    <row r="46" spans="1:16" hidden="1"/>
    <row r="47" spans="1:16" hidden="1">
      <c r="B47" s="263" t="s">
        <v>253</v>
      </c>
      <c r="C47" s="263"/>
      <c r="D47" s="263"/>
      <c r="E47" s="263"/>
      <c r="J47" s="280" t="s">
        <v>254</v>
      </c>
      <c r="K47" s="280"/>
      <c r="L47" s="280"/>
      <c r="M47" s="280"/>
      <c r="N47" s="280"/>
    </row>
    <row r="48" spans="1:16" hidden="1">
      <c r="B48" s="254" t="s">
        <v>257</v>
      </c>
      <c r="C48" s="254"/>
      <c r="D48" s="254"/>
      <c r="E48" s="254"/>
      <c r="J48" s="254" t="s">
        <v>255</v>
      </c>
      <c r="K48" s="254"/>
      <c r="L48" s="254"/>
      <c r="M48" s="254"/>
    </row>
    <row r="49" spans="1:14" hidden="1">
      <c r="A49" s="20"/>
      <c r="B49" s="254" t="s">
        <v>61</v>
      </c>
      <c r="C49" s="254"/>
      <c r="D49" s="254"/>
      <c r="E49" s="254"/>
      <c r="F49" s="20"/>
      <c r="J49" s="254" t="s">
        <v>256</v>
      </c>
      <c r="K49" s="254"/>
      <c r="L49" s="254"/>
      <c r="M49" s="254"/>
    </row>
    <row r="50" spans="1:14" hidden="1">
      <c r="A50" s="15"/>
      <c r="B50" s="18"/>
      <c r="C50" s="19"/>
      <c r="D50" s="18"/>
      <c r="E50" s="18"/>
      <c r="H50" s="220"/>
      <c r="I50" s="15"/>
      <c r="J50" s="45"/>
      <c r="K50" s="45"/>
      <c r="L50" s="45"/>
      <c r="M50" s="35"/>
      <c r="N50" s="41"/>
    </row>
    <row r="51" spans="1:14" hidden="1">
      <c r="A51" s="15"/>
      <c r="B51" s="18"/>
      <c r="C51" s="19"/>
      <c r="D51" s="18"/>
      <c r="E51" s="18"/>
      <c r="H51" s="220"/>
      <c r="I51" s="15"/>
      <c r="J51" s="45"/>
      <c r="K51" s="45"/>
      <c r="L51" s="45"/>
      <c r="M51" s="35"/>
      <c r="N51" s="41"/>
    </row>
    <row r="52" spans="1:14" hidden="1">
      <c r="A52" s="15"/>
      <c r="B52" s="18"/>
      <c r="C52" s="19"/>
      <c r="D52" s="18"/>
      <c r="E52" s="18"/>
      <c r="H52" s="220"/>
      <c r="I52" s="15"/>
      <c r="J52" s="45"/>
      <c r="K52" s="45"/>
      <c r="L52" s="45"/>
      <c r="M52" s="35"/>
      <c r="N52" s="41"/>
    </row>
    <row r="53" spans="1:14" hidden="1">
      <c r="A53" s="15"/>
      <c r="B53" s="18"/>
      <c r="C53" s="19"/>
      <c r="D53" s="18"/>
      <c r="E53" s="18"/>
      <c r="H53" s="220"/>
      <c r="I53" s="15"/>
      <c r="J53" s="45"/>
      <c r="K53" s="45"/>
      <c r="L53" s="45"/>
      <c r="M53" s="35"/>
      <c r="N53" s="41"/>
    </row>
    <row r="54" spans="1:14" hidden="1">
      <c r="A54" s="15"/>
      <c r="B54" s="18"/>
      <c r="C54" s="19"/>
      <c r="D54" s="18"/>
      <c r="E54" s="18"/>
      <c r="H54" s="220"/>
      <c r="I54" s="15"/>
      <c r="J54" s="45"/>
      <c r="K54" s="45"/>
      <c r="L54" s="45"/>
      <c r="M54" s="35"/>
      <c r="N54" s="41"/>
    </row>
    <row r="55" spans="1:14" hidden="1">
      <c r="A55" s="15"/>
      <c r="B55" s="18"/>
      <c r="C55" s="19"/>
      <c r="D55" s="18"/>
      <c r="E55" s="18"/>
      <c r="H55" s="220"/>
      <c r="I55" s="15"/>
      <c r="J55" s="45"/>
      <c r="K55" s="45"/>
      <c r="L55" s="45"/>
      <c r="M55" s="35"/>
      <c r="N55" s="41"/>
    </row>
    <row r="56" spans="1:14" hidden="1">
      <c r="A56" s="15"/>
      <c r="B56" s="18"/>
      <c r="C56" s="19"/>
      <c r="D56" s="18"/>
      <c r="E56" s="18"/>
      <c r="H56" s="220"/>
      <c r="I56" s="15"/>
      <c r="J56" s="45"/>
      <c r="K56" s="45"/>
      <c r="L56" s="45"/>
      <c r="M56" s="35"/>
      <c r="N56" s="41"/>
    </row>
    <row r="57" spans="1:14" hidden="1">
      <c r="A57" s="15"/>
      <c r="B57" s="18"/>
      <c r="C57" s="19"/>
      <c r="D57" s="18"/>
      <c r="E57" s="18"/>
      <c r="H57" s="220"/>
      <c r="I57" s="15"/>
      <c r="J57" s="45"/>
      <c r="K57" s="45"/>
      <c r="L57" s="45"/>
      <c r="M57" s="35"/>
      <c r="N57" s="41"/>
    </row>
    <row r="58" spans="1:14">
      <c r="A58" s="15"/>
      <c r="B58" s="18"/>
      <c r="C58" s="19"/>
      <c r="D58" s="18"/>
      <c r="E58" s="18"/>
      <c r="H58" s="247"/>
      <c r="I58" s="15"/>
      <c r="J58" s="45"/>
      <c r="K58" s="45"/>
      <c r="L58" s="45"/>
      <c r="M58" s="35"/>
      <c r="N58" s="41"/>
    </row>
    <row r="59" spans="1:14" ht="22.5" customHeight="1">
      <c r="A59" s="15"/>
      <c r="B59" s="18"/>
      <c r="C59" s="19"/>
      <c r="D59" s="18"/>
      <c r="E59" s="18"/>
      <c r="H59" s="220"/>
      <c r="I59" s="15"/>
      <c r="J59" s="45"/>
      <c r="K59" s="45"/>
      <c r="L59" s="45"/>
      <c r="M59" s="35"/>
      <c r="N59" s="41"/>
    </row>
    <row r="60" spans="1:14">
      <c r="E60" s="3" t="s">
        <v>70</v>
      </c>
      <c r="F60" s="3"/>
      <c r="G60" s="3"/>
      <c r="H60" s="3"/>
      <c r="I60" s="3"/>
      <c r="J60" s="3"/>
      <c r="K60" s="3"/>
    </row>
    <row r="61" spans="1:14">
      <c r="E61" s="283" t="str">
        <f>B76</f>
        <v>( นายผจญ  ทิปกะ )</v>
      </c>
      <c r="F61" s="283"/>
      <c r="G61" s="283"/>
      <c r="H61" s="283"/>
      <c r="I61" s="283"/>
    </row>
    <row r="62" spans="1:14">
      <c r="E62" s="283" t="str">
        <f>D76</f>
        <v>ปลัด อบต.ป่ากลาง</v>
      </c>
      <c r="F62" s="283"/>
      <c r="G62" s="283"/>
      <c r="H62" s="283"/>
      <c r="I62" s="283"/>
    </row>
    <row r="63" spans="1:14" ht="12.75" customHeight="1"/>
    <row r="64" spans="1:14">
      <c r="B64" s="3" t="s">
        <v>222</v>
      </c>
      <c r="C64" s="3"/>
      <c r="D64" s="3"/>
      <c r="E64" s="3"/>
      <c r="F64" s="3"/>
      <c r="G64" s="3"/>
      <c r="H64" s="3" t="s">
        <v>224</v>
      </c>
      <c r="J64" s="3"/>
      <c r="K64" s="3"/>
      <c r="L64" s="3"/>
      <c r="M64" s="3"/>
    </row>
    <row r="65" spans="2:13">
      <c r="B65" s="283" t="str">
        <f>B87</f>
        <v>( นายนัฏฐิชัย  ใจมั่น )</v>
      </c>
      <c r="C65" s="263"/>
      <c r="D65" s="263"/>
      <c r="I65" s="283" t="str">
        <f>B90</f>
        <v>( นายสุรเดช   พรมมีเดช )</v>
      </c>
      <c r="J65" s="283"/>
      <c r="K65" s="283"/>
      <c r="L65" s="283"/>
    </row>
    <row r="66" spans="2:13">
      <c r="B66" s="283" t="str">
        <f>D87</f>
        <v>ผู้อำนวยการกองช่าง</v>
      </c>
      <c r="C66" s="263"/>
      <c r="D66" s="263"/>
      <c r="I66" s="283" t="str">
        <f>D90</f>
        <v>นายช่างโยธา</v>
      </c>
      <c r="J66" s="283"/>
      <c r="K66" s="283"/>
      <c r="L66" s="283"/>
    </row>
    <row r="67" spans="2:13" ht="16.5" customHeight="1">
      <c r="B67" s="179"/>
      <c r="C67" s="180"/>
      <c r="D67" s="180"/>
      <c r="I67" s="179"/>
      <c r="J67" s="179"/>
      <c r="K67" s="179"/>
      <c r="L67" s="179"/>
    </row>
    <row r="68" spans="2:13">
      <c r="B68" s="3" t="s">
        <v>222</v>
      </c>
      <c r="C68" s="3"/>
      <c r="D68" s="3"/>
      <c r="E68" s="3"/>
      <c r="F68" s="3"/>
      <c r="G68" s="3"/>
      <c r="H68" s="3" t="s">
        <v>224</v>
      </c>
      <c r="J68" s="3"/>
      <c r="K68" s="3"/>
      <c r="L68" s="3"/>
      <c r="M68" s="3"/>
    </row>
    <row r="69" spans="2:13">
      <c r="B69" s="283" t="str">
        <f>B73</f>
        <v>( นายชัยเดช  อภิวัฒน์สกุล )</v>
      </c>
      <c r="C69" s="263"/>
      <c r="D69" s="263"/>
      <c r="I69" s="283" t="str">
        <f>B74</f>
        <v>( นายสุรพงษ์   ศิลป์ท้าว)</v>
      </c>
      <c r="J69" s="283"/>
      <c r="K69" s="283"/>
      <c r="L69" s="283"/>
    </row>
    <row r="70" spans="2:13">
      <c r="B70" s="283" t="str">
        <f>D73</f>
        <v>รองนายก อบต.ป่ากลาง</v>
      </c>
      <c r="C70" s="263"/>
      <c r="D70" s="263"/>
      <c r="I70" s="283" t="str">
        <f>D74</f>
        <v>รองนายก อบต.ป่ากลาง</v>
      </c>
      <c r="J70" s="283"/>
      <c r="K70" s="283"/>
      <c r="L70" s="283"/>
    </row>
    <row r="71" spans="2:13">
      <c r="B71" s="179"/>
      <c r="C71" s="180"/>
      <c r="D71" s="180"/>
      <c r="I71" s="179"/>
      <c r="J71" s="179"/>
      <c r="K71" s="179"/>
      <c r="L71" s="179"/>
    </row>
    <row r="72" spans="2:13">
      <c r="B72" s="179"/>
      <c r="C72" s="180"/>
      <c r="D72" s="180"/>
      <c r="I72" s="179"/>
      <c r="J72" s="179"/>
      <c r="K72" s="179"/>
      <c r="L72" s="179"/>
    </row>
    <row r="73" spans="2:13">
      <c r="B73" s="44" t="s">
        <v>35</v>
      </c>
      <c r="D73" s="44" t="s">
        <v>36</v>
      </c>
    </row>
    <row r="74" spans="2:13">
      <c r="B74" s="44" t="s">
        <v>223</v>
      </c>
      <c r="D74" s="44" t="s">
        <v>36</v>
      </c>
    </row>
    <row r="75" spans="2:13">
      <c r="B75" s="44" t="s">
        <v>37</v>
      </c>
      <c r="D75" s="44" t="s">
        <v>38</v>
      </c>
    </row>
    <row r="76" spans="2:13">
      <c r="B76" s="182" t="s">
        <v>39</v>
      </c>
      <c r="D76" s="1" t="s">
        <v>40</v>
      </c>
    </row>
    <row r="77" spans="2:13">
      <c r="B77" s="1" t="s">
        <v>41</v>
      </c>
      <c r="D77" s="1" t="s">
        <v>42</v>
      </c>
    </row>
    <row r="78" spans="2:13">
      <c r="B78" s="1" t="s">
        <v>43</v>
      </c>
      <c r="D78" s="1" t="s">
        <v>44</v>
      </c>
    </row>
    <row r="79" spans="2:13">
      <c r="B79" s="1" t="s">
        <v>45</v>
      </c>
      <c r="D79" s="1" t="s">
        <v>46</v>
      </c>
    </row>
    <row r="80" spans="2:13">
      <c r="B80" s="1" t="s">
        <v>47</v>
      </c>
      <c r="D80" s="1" t="s">
        <v>48</v>
      </c>
    </row>
    <row r="81" spans="2:4">
      <c r="B81" s="1" t="s">
        <v>49</v>
      </c>
      <c r="D81" s="1" t="s">
        <v>50</v>
      </c>
    </row>
    <row r="82" spans="2:4">
      <c r="B82" s="1" t="s">
        <v>51</v>
      </c>
      <c r="D82" s="1" t="s">
        <v>52</v>
      </c>
    </row>
    <row r="83" spans="2:4">
      <c r="B83" s="1" t="s">
        <v>53</v>
      </c>
      <c r="D83" s="1" t="s">
        <v>54</v>
      </c>
    </row>
    <row r="84" spans="2:4">
      <c r="B84" s="1" t="s">
        <v>55</v>
      </c>
      <c r="D84" s="1" t="s">
        <v>56</v>
      </c>
    </row>
    <row r="85" spans="2:4">
      <c r="B85" s="1" t="s">
        <v>57</v>
      </c>
      <c r="D85" s="1" t="s">
        <v>58</v>
      </c>
    </row>
    <row r="86" spans="2:4">
      <c r="B86" s="1" t="s">
        <v>59</v>
      </c>
      <c r="D86" s="1" t="s">
        <v>60</v>
      </c>
    </row>
    <row r="87" spans="2:4">
      <c r="B87" s="1" t="s">
        <v>304</v>
      </c>
      <c r="D87" s="1" t="s">
        <v>61</v>
      </c>
    </row>
    <row r="88" spans="2:4">
      <c r="B88" s="1" t="s">
        <v>62</v>
      </c>
      <c r="D88" s="1" t="s">
        <v>63</v>
      </c>
    </row>
    <row r="89" spans="2:4">
      <c r="B89" s="1" t="s">
        <v>64</v>
      </c>
      <c r="D89" s="1" t="s">
        <v>65</v>
      </c>
    </row>
    <row r="90" spans="2:4">
      <c r="B90" s="1" t="s">
        <v>66</v>
      </c>
      <c r="D90" s="44" t="s">
        <v>67</v>
      </c>
    </row>
  </sheetData>
  <mergeCells count="62">
    <mergeCell ref="B70:D70"/>
    <mergeCell ref="I70:L70"/>
    <mergeCell ref="E61:I61"/>
    <mergeCell ref="E62:I62"/>
    <mergeCell ref="B65:D65"/>
    <mergeCell ref="I65:L65"/>
    <mergeCell ref="B66:D66"/>
    <mergeCell ref="I66:L66"/>
    <mergeCell ref="B69:D69"/>
    <mergeCell ref="I69:L69"/>
    <mergeCell ref="B47:E47"/>
    <mergeCell ref="J47:N47"/>
    <mergeCell ref="B48:E48"/>
    <mergeCell ref="J48:M48"/>
    <mergeCell ref="H31:I31"/>
    <mergeCell ref="J31:K31"/>
    <mergeCell ref="B43:F43"/>
    <mergeCell ref="J43:N43"/>
    <mergeCell ref="B44:E44"/>
    <mergeCell ref="J44:M44"/>
    <mergeCell ref="H23:I23"/>
    <mergeCell ref="J23:K23"/>
    <mergeCell ref="J12:K12"/>
    <mergeCell ref="H13:I13"/>
    <mergeCell ref="J13:K13"/>
    <mergeCell ref="H17:I17"/>
    <mergeCell ref="J17:K17"/>
    <mergeCell ref="H18:I18"/>
    <mergeCell ref="J18:K18"/>
    <mergeCell ref="J19:K19"/>
    <mergeCell ref="H20:I20"/>
    <mergeCell ref="J20:K20"/>
    <mergeCell ref="H22:I22"/>
    <mergeCell ref="J22:K22"/>
    <mergeCell ref="H15:I15"/>
    <mergeCell ref="J15:K15"/>
    <mergeCell ref="A1:N1"/>
    <mergeCell ref="A10:A11"/>
    <mergeCell ref="B10:E11"/>
    <mergeCell ref="F10:F11"/>
    <mergeCell ref="G10:G11"/>
    <mergeCell ref="H10:I10"/>
    <mergeCell ref="J10:K11"/>
    <mergeCell ref="L10:L11"/>
    <mergeCell ref="N10:N11"/>
    <mergeCell ref="H11:I11"/>
    <mergeCell ref="B49:E49"/>
    <mergeCell ref="J49:M49"/>
    <mergeCell ref="H24:I24"/>
    <mergeCell ref="J24:K24"/>
    <mergeCell ref="H25:I25"/>
    <mergeCell ref="J25:K25"/>
    <mergeCell ref="H27:I27"/>
    <mergeCell ref="J27:K27"/>
    <mergeCell ref="J38:L38"/>
    <mergeCell ref="J39:L39"/>
    <mergeCell ref="J35:L35"/>
    <mergeCell ref="J36:L36"/>
    <mergeCell ref="H29:I29"/>
    <mergeCell ref="J29:K29"/>
    <mergeCell ref="B45:E45"/>
    <mergeCell ref="J45:M45"/>
  </mergeCells>
  <printOptions horizontalCentered="1"/>
  <pageMargins left="0.16" right="0" top="0.19685039370078741" bottom="0" header="0.31496062992125984" footer="0.31496062992125984"/>
  <pageSetup paperSize="9" scale="75" orientation="portrait" r:id="rId1"/>
  <rowBreaks count="1" manualBreakCount="1">
    <brk id="70" max="1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zoomScale="120" zoomScaleNormal="120" zoomScaleSheetLayoutView="120" workbookViewId="0">
      <selection activeCell="H17" sqref="H17:I17"/>
    </sheetView>
  </sheetViews>
  <sheetFormatPr defaultRowHeight="21"/>
  <cols>
    <col min="1" max="4" width="9" style="1"/>
    <col min="5" max="5" width="13" style="1" customWidth="1"/>
    <col min="6" max="7" width="9" style="1"/>
    <col min="8" max="9" width="6.5" style="1" customWidth="1"/>
    <col min="10" max="11" width="6.875" style="1" customWidth="1"/>
    <col min="12" max="12" width="9" style="1"/>
    <col min="13" max="13" width="11.75" style="1" customWidth="1"/>
    <col min="14" max="14" width="12.25" style="1" customWidth="1"/>
    <col min="15" max="16384" width="9" style="1"/>
  </cols>
  <sheetData>
    <row r="1" spans="1:14">
      <c r="A1" s="263" t="s">
        <v>226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4">
      <c r="A3" s="1" t="str">
        <f>ค่าวัสดุและดำเนินการ!A3</f>
        <v>โครงการ      : ก่อสร้างถนน คสล. ซอยบ้านนายศรีจันทร์</v>
      </c>
      <c r="J3" s="1" t="str">
        <f>ค่าวัสดุและดำเนินการ!H3</f>
        <v>ตามแบบมาตรฐานถนน คสล. เลขที่ ท.1-01</v>
      </c>
    </row>
    <row r="4" spans="1:14">
      <c r="A4" s="1" t="str">
        <f>ค่าวัสดุและดำเนินการ!A4</f>
        <v xml:space="preserve">ปริมาณงาน   : 1. ก่อสร้างถนนคสล. ขนาดกว้าง 5.00 เมตร  ยาว 167.00 เมตร  หนา 0.15 เมตร พร้อมไหล่ทาง 2 ข้าง  กว้างเฉลี่ย 0.30 เมตร </v>
      </c>
    </row>
    <row r="5" spans="1:14">
      <c r="A5" s="1" t="str">
        <f>ค่าวัสดุและดำเนินการ!A5</f>
        <v xml:space="preserve">                   2. วางท่อ คสล. ขนาด Ø 0.30 ม.  จำนวน 11.00 ท่อน  พร้อมบ่อพักน้ำ 1 บ่อ</v>
      </c>
    </row>
    <row r="6" spans="1:14">
      <c r="A6" s="1" t="str">
        <f>ค่าวัสดุและดำเนินการ!A6</f>
        <v>ที่ตั้งโครงการ : ค้างฮ้อ  หมู่ที่ 3  ตำบลป่ากลาง  อำเภอปัว  จังหวัดน่าน</v>
      </c>
      <c r="G6" s="1" t="str">
        <f>ค่าวัสดุและดำเนินการ!G6</f>
        <v>เขตฝนตกปกติ   ราคาน้ำมันโซล่าเฉลี่ยที่อำเภอเมือง  30.00 - 30.99  บาท/ลิตร</v>
      </c>
    </row>
    <row r="7" spans="1:14">
      <c r="A7" s="1" t="str">
        <f>ค่าวัสดุและดำเนินการ!A7</f>
        <v>อัตราดอกเบี้ยเงินกู้ (MLR)   6 %</v>
      </c>
      <c r="G7" s="1" t="str">
        <f>ค่าวัสดุและดำเนินการ!G7</f>
        <v>เงินล่วงหน้าจ่าย   15  %</v>
      </c>
    </row>
    <row r="8" spans="1:14">
      <c r="A8" s="1" t="str">
        <f>ค่าวัสดุและดำเนินการ!A8</f>
        <v>เงินประกันผลงานหัก        0 %</v>
      </c>
      <c r="G8" s="1" t="str">
        <f>ค่าวัสดุและดำเนินการ!G8</f>
        <v>ภาษีมูลค่าเพิ่ม     7  %</v>
      </c>
    </row>
    <row r="9" spans="1:14">
      <c r="A9" s="1" t="s">
        <v>321</v>
      </c>
      <c r="G9" s="1" t="s">
        <v>317</v>
      </c>
    </row>
    <row r="10" spans="1:14">
      <c r="A10" s="264" t="s">
        <v>23</v>
      </c>
      <c r="B10" s="266" t="s">
        <v>0</v>
      </c>
      <c r="C10" s="266"/>
      <c r="D10" s="266"/>
      <c r="E10" s="267"/>
      <c r="F10" s="264" t="s">
        <v>1</v>
      </c>
      <c r="G10" s="270" t="s">
        <v>24</v>
      </c>
      <c r="H10" s="272" t="s">
        <v>68</v>
      </c>
      <c r="I10" s="273"/>
      <c r="J10" s="272" t="s">
        <v>25</v>
      </c>
      <c r="K10" s="273"/>
      <c r="L10" s="276" t="s">
        <v>26</v>
      </c>
      <c r="M10" s="21" t="s">
        <v>27</v>
      </c>
      <c r="N10" s="276" t="s">
        <v>75</v>
      </c>
    </row>
    <row r="11" spans="1:14">
      <c r="A11" s="265"/>
      <c r="B11" s="268"/>
      <c r="C11" s="268"/>
      <c r="D11" s="268"/>
      <c r="E11" s="269"/>
      <c r="F11" s="265"/>
      <c r="G11" s="271"/>
      <c r="H11" s="274" t="s">
        <v>69</v>
      </c>
      <c r="I11" s="275"/>
      <c r="J11" s="274"/>
      <c r="K11" s="275"/>
      <c r="L11" s="277"/>
      <c r="M11" s="22" t="s">
        <v>28</v>
      </c>
      <c r="N11" s="277"/>
    </row>
    <row r="12" spans="1:14">
      <c r="A12" s="126">
        <v>1</v>
      </c>
      <c r="B12" s="127" t="s">
        <v>300</v>
      </c>
      <c r="C12" s="24"/>
      <c r="D12" s="25"/>
      <c r="E12" s="26"/>
      <c r="F12" s="27"/>
      <c r="G12" s="28"/>
      <c r="H12" s="130"/>
      <c r="I12" s="131"/>
      <c r="J12" s="278"/>
      <c r="K12" s="279"/>
      <c r="L12" s="29"/>
      <c r="M12" s="29"/>
      <c r="N12" s="30"/>
    </row>
    <row r="13" spans="1:14">
      <c r="A13" s="126"/>
      <c r="B13" s="32" t="s">
        <v>301</v>
      </c>
      <c r="C13" s="32"/>
      <c r="D13" s="31"/>
      <c r="E13" s="33"/>
      <c r="F13" s="23"/>
      <c r="G13" s="28"/>
      <c r="H13" s="255"/>
      <c r="I13" s="256"/>
      <c r="J13" s="255"/>
      <c r="K13" s="256"/>
      <c r="L13" s="34"/>
      <c r="M13" s="43"/>
      <c r="N13" s="29"/>
    </row>
    <row r="14" spans="1:14">
      <c r="A14" s="126">
        <v>2</v>
      </c>
      <c r="B14" s="128" t="s">
        <v>302</v>
      </c>
      <c r="C14" s="32"/>
      <c r="D14" s="31"/>
      <c r="E14" s="33"/>
      <c r="F14" s="23"/>
      <c r="G14" s="28"/>
      <c r="H14" s="249"/>
      <c r="I14" s="250"/>
      <c r="J14" s="249"/>
      <c r="K14" s="250"/>
      <c r="L14" s="34"/>
      <c r="M14" s="43"/>
      <c r="N14" s="29"/>
    </row>
    <row r="15" spans="1:14">
      <c r="A15" s="126"/>
      <c r="B15" s="32" t="s">
        <v>303</v>
      </c>
      <c r="C15" s="32"/>
      <c r="D15" s="31"/>
      <c r="E15" s="33"/>
      <c r="F15" s="23"/>
      <c r="G15" s="28"/>
      <c r="H15" s="255"/>
      <c r="I15" s="256"/>
      <c r="J15" s="255"/>
      <c r="K15" s="256"/>
      <c r="L15" s="34"/>
      <c r="M15" s="43"/>
      <c r="N15" s="29"/>
    </row>
    <row r="16" spans="1:14">
      <c r="A16" s="126">
        <v>3</v>
      </c>
      <c r="B16" s="128" t="s">
        <v>186</v>
      </c>
      <c r="C16" s="32"/>
      <c r="D16" s="31"/>
      <c r="E16" s="33"/>
      <c r="F16" s="23"/>
      <c r="G16" s="28"/>
      <c r="H16" s="249"/>
      <c r="I16" s="250"/>
      <c r="J16" s="249"/>
      <c r="K16" s="250"/>
      <c r="L16" s="34"/>
      <c r="M16" s="43"/>
      <c r="N16" s="29"/>
    </row>
    <row r="17" spans="1:14">
      <c r="A17" s="126"/>
      <c r="B17" s="32" t="s">
        <v>307</v>
      </c>
      <c r="C17" s="32"/>
      <c r="D17" s="31"/>
      <c r="E17" s="33"/>
      <c r="F17" s="23"/>
      <c r="G17" s="28"/>
      <c r="H17" s="255"/>
      <c r="I17" s="256"/>
      <c r="J17" s="255"/>
      <c r="K17" s="256"/>
      <c r="L17" s="34"/>
      <c r="M17" s="43"/>
      <c r="N17" s="29"/>
    </row>
    <row r="18" spans="1:14">
      <c r="A18" s="126"/>
      <c r="B18" s="32" t="s">
        <v>308</v>
      </c>
      <c r="C18" s="32"/>
      <c r="D18" s="31"/>
      <c r="E18" s="33"/>
      <c r="F18" s="23"/>
      <c r="G18" s="28"/>
      <c r="H18" s="255"/>
      <c r="I18" s="256"/>
      <c r="J18" s="255"/>
      <c r="K18" s="256"/>
      <c r="L18" s="34"/>
      <c r="M18" s="43"/>
      <c r="N18" s="29"/>
    </row>
    <row r="19" spans="1:14">
      <c r="A19" s="126">
        <v>4</v>
      </c>
      <c r="B19" s="128" t="s">
        <v>187</v>
      </c>
      <c r="C19" s="32"/>
      <c r="D19" s="31"/>
      <c r="E19" s="33"/>
      <c r="F19" s="27"/>
      <c r="G19" s="36"/>
      <c r="H19" s="43"/>
      <c r="I19" s="129"/>
      <c r="J19" s="255"/>
      <c r="K19" s="256"/>
      <c r="L19" s="34"/>
      <c r="M19" s="43"/>
      <c r="N19" s="29"/>
    </row>
    <row r="20" spans="1:14">
      <c r="A20" s="126"/>
      <c r="B20" s="32" t="s">
        <v>309</v>
      </c>
      <c r="C20" s="32"/>
      <c r="D20" s="31"/>
      <c r="E20" s="33" t="s">
        <v>225</v>
      </c>
      <c r="F20" s="23"/>
      <c r="G20" s="28"/>
      <c r="H20" s="255"/>
      <c r="I20" s="256"/>
      <c r="J20" s="255"/>
      <c r="K20" s="256"/>
      <c r="L20" s="34"/>
      <c r="M20" s="43"/>
      <c r="N20" s="29"/>
    </row>
    <row r="21" spans="1:14">
      <c r="A21" s="126">
        <v>5</v>
      </c>
      <c r="B21" s="128" t="s">
        <v>188</v>
      </c>
      <c r="C21" s="32"/>
      <c r="D21" s="31"/>
      <c r="E21" s="33"/>
      <c r="F21" s="27"/>
      <c r="G21" s="36"/>
      <c r="H21" s="249"/>
      <c r="I21" s="250"/>
      <c r="J21" s="249"/>
      <c r="K21" s="250"/>
      <c r="L21" s="34"/>
      <c r="M21" s="43"/>
      <c r="N21" s="29"/>
    </row>
    <row r="22" spans="1:14">
      <c r="A22" s="126"/>
      <c r="B22" s="32" t="s">
        <v>310</v>
      </c>
      <c r="C22" s="32"/>
      <c r="D22" s="31"/>
      <c r="E22" s="33"/>
      <c r="F22" s="23"/>
      <c r="G22" s="28"/>
      <c r="H22" s="255"/>
      <c r="I22" s="256"/>
      <c r="J22" s="255"/>
      <c r="K22" s="256"/>
      <c r="L22" s="34"/>
      <c r="M22" s="43"/>
      <c r="N22" s="29"/>
    </row>
    <row r="23" spans="1:14">
      <c r="A23" s="126"/>
      <c r="B23" s="32" t="s">
        <v>311</v>
      </c>
      <c r="C23" s="32"/>
      <c r="D23" s="31"/>
      <c r="E23" s="33"/>
      <c r="F23" s="23"/>
      <c r="G23" s="28"/>
      <c r="H23" s="255"/>
      <c r="I23" s="256"/>
      <c r="J23" s="255"/>
      <c r="K23" s="256"/>
      <c r="L23" s="34"/>
      <c r="M23" s="43"/>
      <c r="N23" s="29"/>
    </row>
    <row r="24" spans="1:14">
      <c r="A24" s="126"/>
      <c r="B24" s="32" t="s">
        <v>312</v>
      </c>
      <c r="C24" s="32"/>
      <c r="D24" s="31"/>
      <c r="E24" s="33"/>
      <c r="F24" s="23"/>
      <c r="G24" s="28"/>
      <c r="H24" s="255"/>
      <c r="I24" s="256"/>
      <c r="J24" s="255"/>
      <c r="K24" s="256"/>
      <c r="L24" s="34"/>
      <c r="M24" s="43"/>
      <c r="N24" s="29"/>
    </row>
    <row r="25" spans="1:14">
      <c r="A25" s="126"/>
      <c r="B25" s="32" t="s">
        <v>313</v>
      </c>
      <c r="C25" s="32"/>
      <c r="D25" s="31"/>
      <c r="E25" s="33"/>
      <c r="F25" s="23"/>
      <c r="G25" s="28"/>
      <c r="H25" s="255"/>
      <c r="I25" s="256"/>
      <c r="J25" s="255"/>
      <c r="K25" s="256"/>
      <c r="L25" s="34"/>
      <c r="M25" s="43"/>
      <c r="N25" s="29"/>
    </row>
    <row r="26" spans="1:14">
      <c r="A26" s="126">
        <v>6</v>
      </c>
      <c r="B26" s="128" t="s">
        <v>189</v>
      </c>
      <c r="C26" s="32"/>
      <c r="D26" s="31"/>
      <c r="E26" s="33"/>
      <c r="F26" s="27"/>
      <c r="G26" s="36"/>
      <c r="H26" s="249"/>
      <c r="I26" s="250"/>
      <c r="J26" s="249"/>
      <c r="K26" s="250"/>
      <c r="L26" s="34"/>
      <c r="M26" s="43"/>
      <c r="N26" s="29"/>
    </row>
    <row r="27" spans="1:14">
      <c r="A27" s="126"/>
      <c r="B27" s="32" t="s">
        <v>314</v>
      </c>
      <c r="C27" s="32"/>
      <c r="D27" s="31"/>
      <c r="E27" s="33"/>
      <c r="F27" s="23"/>
      <c r="G27" s="28"/>
      <c r="H27" s="255"/>
      <c r="I27" s="256"/>
      <c r="J27" s="255"/>
      <c r="K27" s="256"/>
      <c r="L27" s="34"/>
      <c r="M27" s="43"/>
      <c r="N27" s="29"/>
    </row>
    <row r="28" spans="1:14">
      <c r="A28" s="126">
        <v>7</v>
      </c>
      <c r="B28" s="128" t="s">
        <v>215</v>
      </c>
      <c r="C28" s="32"/>
      <c r="D28" s="31"/>
      <c r="E28" s="33"/>
      <c r="F28" s="27"/>
      <c r="G28" s="36"/>
      <c r="H28" s="249"/>
      <c r="I28" s="250"/>
      <c r="J28" s="249"/>
      <c r="K28" s="250"/>
      <c r="L28" s="34"/>
      <c r="M28" s="43"/>
      <c r="N28" s="29"/>
    </row>
    <row r="29" spans="1:14">
      <c r="A29" s="126"/>
      <c r="B29" s="32" t="s">
        <v>315</v>
      </c>
      <c r="C29" s="32"/>
      <c r="D29" s="31"/>
      <c r="E29" s="33"/>
      <c r="F29" s="23"/>
      <c r="G29" s="28"/>
      <c r="H29" s="255"/>
      <c r="I29" s="256"/>
      <c r="J29" s="255"/>
      <c r="K29" s="256"/>
      <c r="L29" s="34"/>
      <c r="M29" s="43"/>
      <c r="N29" s="29"/>
    </row>
    <row r="30" spans="1:14">
      <c r="A30" s="126">
        <v>8</v>
      </c>
      <c r="B30" s="128" t="s">
        <v>263</v>
      </c>
      <c r="C30" s="32"/>
      <c r="D30" s="31"/>
      <c r="E30" s="33"/>
      <c r="F30" s="27"/>
      <c r="G30" s="36"/>
      <c r="H30" s="249"/>
      <c r="I30" s="250"/>
      <c r="J30" s="249"/>
      <c r="K30" s="250"/>
      <c r="L30" s="34"/>
      <c r="M30" s="43"/>
      <c r="N30" s="29"/>
    </row>
    <row r="31" spans="1:14">
      <c r="A31" s="126"/>
      <c r="B31" s="32" t="s">
        <v>316</v>
      </c>
      <c r="C31" s="32"/>
      <c r="D31" s="31"/>
      <c r="E31" s="33"/>
      <c r="F31" s="23"/>
      <c r="G31" s="28"/>
      <c r="H31" s="281"/>
      <c r="I31" s="282"/>
      <c r="J31" s="255"/>
      <c r="K31" s="256"/>
      <c r="L31" s="34"/>
      <c r="M31" s="43"/>
      <c r="N31" s="29"/>
    </row>
    <row r="32" spans="1:14">
      <c r="A32" s="252">
        <v>9</v>
      </c>
      <c r="B32" s="132" t="s">
        <v>74</v>
      </c>
      <c r="C32" s="132"/>
      <c r="D32" s="133"/>
      <c r="E32" s="134"/>
      <c r="F32" s="135"/>
      <c r="G32" s="136"/>
      <c r="H32" s="137"/>
      <c r="I32" s="138"/>
      <c r="J32" s="137"/>
      <c r="K32" s="138"/>
      <c r="L32" s="42"/>
      <c r="M32" s="37"/>
      <c r="N32" s="29"/>
    </row>
    <row r="33" spans="1:14">
      <c r="A33" s="16"/>
      <c r="B33" s="16"/>
      <c r="C33" s="38"/>
      <c r="D33" s="39"/>
      <c r="E33" s="39"/>
      <c r="F33" s="16"/>
      <c r="G33" s="253"/>
      <c r="H33" s="253"/>
      <c r="I33" s="16"/>
      <c r="J33" s="16"/>
      <c r="K33" s="40"/>
      <c r="L33" s="15"/>
      <c r="M33" s="38" t="s">
        <v>190</v>
      </c>
      <c r="N33" s="140"/>
    </row>
    <row r="34" spans="1:14" ht="21.75" thickBot="1">
      <c r="A34" s="16"/>
      <c r="B34" s="16"/>
      <c r="C34" s="38"/>
      <c r="D34" s="39"/>
      <c r="E34" s="39"/>
      <c r="F34" s="16"/>
      <c r="G34" s="253"/>
      <c r="H34" s="253"/>
      <c r="I34" s="16"/>
      <c r="J34" s="16"/>
      <c r="K34" s="40"/>
      <c r="L34" s="15"/>
      <c r="M34" s="38" t="s">
        <v>259</v>
      </c>
      <c r="N34" s="139"/>
    </row>
    <row r="35" spans="1:14" ht="22.5" thickTop="1" thickBot="1">
      <c r="A35" s="15"/>
      <c r="B35" s="18" t="s">
        <v>29</v>
      </c>
      <c r="C35" s="19"/>
      <c r="D35" s="18"/>
      <c r="E35" s="18"/>
      <c r="H35" s="248"/>
      <c r="I35" s="15"/>
      <c r="J35" s="260"/>
      <c r="K35" s="261"/>
      <c r="L35" s="262"/>
      <c r="M35" s="35"/>
      <c r="N35" s="41"/>
    </row>
    <row r="36" spans="1:14" ht="21.75" thickBot="1">
      <c r="A36" s="15"/>
      <c r="B36" s="18" t="s">
        <v>30</v>
      </c>
      <c r="C36" s="19"/>
      <c r="D36" s="18"/>
      <c r="E36" s="18"/>
      <c r="H36" s="248"/>
      <c r="I36" s="15"/>
      <c r="J36" s="260"/>
      <c r="K36" s="261"/>
      <c r="L36" s="262"/>
      <c r="M36" s="35"/>
      <c r="N36" s="41"/>
    </row>
    <row r="37" spans="1:14" ht="21.75" thickBot="1">
      <c r="A37" s="15"/>
      <c r="B37" s="18"/>
      <c r="C37" s="19"/>
      <c r="D37" s="18"/>
      <c r="E37" s="18"/>
      <c r="H37" s="248"/>
      <c r="I37" s="15"/>
      <c r="J37" s="251"/>
      <c r="K37" s="251"/>
      <c r="L37" s="251"/>
      <c r="M37" s="35"/>
      <c r="N37" s="41"/>
    </row>
    <row r="38" spans="1:14" ht="21.75" thickBot="1">
      <c r="A38" s="15"/>
      <c r="B38" s="18" t="s">
        <v>31</v>
      </c>
      <c r="C38" s="19"/>
      <c r="D38" s="18"/>
      <c r="E38" s="18"/>
      <c r="H38" s="248"/>
      <c r="I38" s="15"/>
      <c r="J38" s="339"/>
      <c r="K38" s="340"/>
      <c r="L38" s="341"/>
      <c r="M38" s="35"/>
      <c r="N38" s="41"/>
    </row>
    <row r="39" spans="1:14" ht="21.75" thickBot="1">
      <c r="A39" s="15"/>
      <c r="B39" s="18" t="s">
        <v>32</v>
      </c>
      <c r="C39" s="19"/>
      <c r="D39" s="18"/>
      <c r="E39" s="18"/>
      <c r="H39" s="248"/>
      <c r="I39" s="15"/>
      <c r="J39" s="339"/>
      <c r="K39" s="340"/>
      <c r="L39" s="341"/>
      <c r="M39" s="35"/>
      <c r="N39" s="41"/>
    </row>
    <row r="40" spans="1:14">
      <c r="A40" s="15"/>
      <c r="B40" s="18"/>
      <c r="C40" s="19"/>
      <c r="D40" s="18"/>
      <c r="E40" s="18"/>
      <c r="H40" s="248"/>
      <c r="I40" s="15"/>
      <c r="J40" s="45"/>
      <c r="K40" s="45"/>
      <c r="L40" s="45"/>
      <c r="M40" s="35"/>
      <c r="N40" s="41"/>
    </row>
    <row r="41" spans="1:14">
      <c r="A41" s="15"/>
      <c r="B41" s="18"/>
      <c r="C41" s="19"/>
      <c r="D41" s="18"/>
      <c r="E41" s="18"/>
      <c r="H41" s="248"/>
      <c r="I41" s="15"/>
      <c r="J41" s="45"/>
      <c r="K41" s="45"/>
      <c r="L41" s="45"/>
      <c r="M41" s="35"/>
      <c r="N41" s="41"/>
    </row>
    <row r="42" spans="1:14">
      <c r="A42" s="15"/>
      <c r="B42" s="18"/>
      <c r="C42" s="19"/>
      <c r="D42" s="18"/>
      <c r="E42" s="18"/>
      <c r="H42" s="248"/>
      <c r="I42" s="15"/>
      <c r="J42" s="45"/>
      <c r="K42" s="45"/>
      <c r="L42" s="45"/>
      <c r="M42" s="35"/>
      <c r="N42" s="41"/>
    </row>
    <row r="43" spans="1:14">
      <c r="A43" s="15"/>
      <c r="B43" s="18"/>
      <c r="C43" s="19"/>
      <c r="D43" s="18"/>
      <c r="E43" s="18"/>
      <c r="H43" s="248"/>
      <c r="I43" s="15"/>
      <c r="J43" s="45"/>
      <c r="K43" s="45"/>
      <c r="L43" s="45"/>
      <c r="M43" s="35"/>
      <c r="N43" s="41"/>
    </row>
    <row r="44" spans="1:14">
      <c r="A44" s="15"/>
      <c r="B44" s="18"/>
      <c r="C44" s="19"/>
      <c r="D44" s="18"/>
      <c r="E44" s="18"/>
      <c r="H44" s="3" t="s">
        <v>319</v>
      </c>
      <c r="J44" s="3"/>
      <c r="K44" s="3"/>
      <c r="L44" s="45"/>
      <c r="M44" s="35"/>
      <c r="N44" s="41"/>
    </row>
    <row r="45" spans="1:14">
      <c r="A45" s="15"/>
      <c r="B45" s="18"/>
      <c r="C45" s="19"/>
      <c r="D45" s="18"/>
      <c r="E45" s="18"/>
      <c r="H45" s="283" t="s">
        <v>318</v>
      </c>
      <c r="I45" s="283"/>
      <c r="J45" s="283"/>
      <c r="K45" s="283"/>
      <c r="L45" s="45"/>
      <c r="M45" s="35"/>
      <c r="N45" s="41"/>
    </row>
    <row r="46" spans="1:14">
      <c r="A46" s="15"/>
      <c r="B46" s="18"/>
      <c r="C46" s="19"/>
      <c r="D46" s="18"/>
      <c r="E46" s="18"/>
      <c r="H46" s="283" t="s">
        <v>320</v>
      </c>
      <c r="I46" s="283"/>
      <c r="J46" s="283"/>
      <c r="K46" s="283"/>
      <c r="L46" s="45"/>
      <c r="M46" s="35"/>
      <c r="N46" s="41"/>
    </row>
    <row r="47" spans="1:14">
      <c r="A47" s="15"/>
      <c r="B47" s="18"/>
      <c r="C47" s="19"/>
      <c r="D47" s="18"/>
      <c r="E47" s="18"/>
      <c r="H47" s="248"/>
      <c r="I47" s="15"/>
      <c r="J47" s="45"/>
      <c r="K47" s="45"/>
      <c r="L47" s="45"/>
      <c r="M47" s="35"/>
      <c r="N47" s="41"/>
    </row>
    <row r="48" spans="1:14">
      <c r="A48" s="15"/>
      <c r="B48" s="18"/>
      <c r="C48" s="19"/>
      <c r="D48" s="18"/>
      <c r="E48" s="18"/>
      <c r="H48" s="248"/>
      <c r="I48" s="15"/>
      <c r="J48" s="45"/>
      <c r="K48" s="45"/>
      <c r="L48" s="45"/>
      <c r="M48" s="35"/>
      <c r="N48" s="41"/>
    </row>
    <row r="49" spans="1:14">
      <c r="A49" s="15"/>
      <c r="B49" s="18"/>
      <c r="C49" s="19"/>
      <c r="D49" s="18"/>
      <c r="E49" s="18"/>
      <c r="H49" s="248"/>
      <c r="I49" s="15"/>
      <c r="J49" s="45"/>
      <c r="K49" s="45"/>
      <c r="L49" s="45"/>
      <c r="M49" s="35"/>
      <c r="N49" s="41"/>
    </row>
    <row r="50" spans="1:14">
      <c r="A50" s="15"/>
      <c r="B50" s="18"/>
      <c r="C50" s="19"/>
      <c r="D50" s="18"/>
      <c r="E50" s="18"/>
      <c r="H50" s="248"/>
      <c r="I50" s="15"/>
      <c r="J50" s="45"/>
      <c r="K50" s="45"/>
      <c r="L50" s="45"/>
      <c r="M50" s="35"/>
      <c r="N50" s="41"/>
    </row>
  </sheetData>
  <mergeCells count="42">
    <mergeCell ref="H22:I22"/>
    <mergeCell ref="J22:K22"/>
    <mergeCell ref="H23:I23"/>
    <mergeCell ref="J23:K23"/>
    <mergeCell ref="H25:I25"/>
    <mergeCell ref="J25:K25"/>
    <mergeCell ref="H24:I24"/>
    <mergeCell ref="J24:K24"/>
    <mergeCell ref="H18:I18"/>
    <mergeCell ref="J18:K18"/>
    <mergeCell ref="H20:I20"/>
    <mergeCell ref="J20:K20"/>
    <mergeCell ref="J19:K19"/>
    <mergeCell ref="A1:N1"/>
    <mergeCell ref="H11:I11"/>
    <mergeCell ref="A10:A11"/>
    <mergeCell ref="B10:E11"/>
    <mergeCell ref="F10:F11"/>
    <mergeCell ref="G10:G11"/>
    <mergeCell ref="H10:I10"/>
    <mergeCell ref="J10:K11"/>
    <mergeCell ref="L10:L11"/>
    <mergeCell ref="N10:N11"/>
    <mergeCell ref="J12:K12"/>
    <mergeCell ref="H13:I13"/>
    <mergeCell ref="H17:I17"/>
    <mergeCell ref="J13:K13"/>
    <mergeCell ref="H15:I15"/>
    <mergeCell ref="J15:K15"/>
    <mergeCell ref="J17:K17"/>
    <mergeCell ref="H45:K45"/>
    <mergeCell ref="H46:K46"/>
    <mergeCell ref="J38:L38"/>
    <mergeCell ref="H27:I27"/>
    <mergeCell ref="J27:K27"/>
    <mergeCell ref="J29:K29"/>
    <mergeCell ref="H31:I31"/>
    <mergeCell ref="J31:K31"/>
    <mergeCell ref="H29:I29"/>
    <mergeCell ref="J39:L39"/>
    <mergeCell ref="J35:L35"/>
    <mergeCell ref="J36:L36"/>
  </mergeCells>
  <pageMargins left="0.39370078740157483" right="0" top="0.59055118110236227" bottom="0" header="0.31496062992125984" footer="0.31496062992125984"/>
  <pageSetup paperSize="9" scale="72" orientation="portrait" horizontalDpi="300" verticalDpi="300" r:id="rId1"/>
  <headerFooter>
    <oddHeader>&amp;Rหน้าที่ &amp;P / &amp;N</oddHead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topLeftCell="A4" zoomScale="130" zoomScaleSheetLayoutView="130" workbookViewId="0">
      <selection activeCell="G7" sqref="G7"/>
    </sheetView>
  </sheetViews>
  <sheetFormatPr defaultRowHeight="21"/>
  <cols>
    <col min="1" max="1" width="5.125" style="1" customWidth="1"/>
    <col min="2" max="3" width="10.625" style="1" customWidth="1"/>
    <col min="4" max="4" width="13" style="1" customWidth="1"/>
    <col min="5" max="5" width="7.25" style="1" customWidth="1"/>
    <col min="6" max="6" width="10.625" style="1" customWidth="1"/>
    <col min="7" max="7" width="7.25" style="1" customWidth="1"/>
    <col min="8" max="8" width="8.75" style="1" customWidth="1"/>
    <col min="9" max="9" width="7.125" style="1" customWidth="1"/>
    <col min="10" max="10" width="9.25" style="1" customWidth="1"/>
    <col min="11" max="11" width="10.625" style="1" customWidth="1"/>
    <col min="12" max="12" width="15.375" style="1" customWidth="1"/>
    <col min="13" max="16384" width="9" style="1"/>
  </cols>
  <sheetData>
    <row r="1" spans="1:12">
      <c r="A1" s="263" t="s">
        <v>14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>
      <c r="A2" s="46" t="s">
        <v>227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1" t="s">
        <v>260</v>
      </c>
      <c r="H3" s="1" t="s">
        <v>284</v>
      </c>
    </row>
    <row r="4" spans="1:12">
      <c r="A4" s="1" t="s">
        <v>261</v>
      </c>
    </row>
    <row r="5" spans="1:12">
      <c r="A5" s="1" t="s">
        <v>262</v>
      </c>
    </row>
    <row r="6" spans="1:12" ht="21" customHeight="1">
      <c r="A6" s="1" t="s">
        <v>283</v>
      </c>
      <c r="G6" s="3" t="s">
        <v>306</v>
      </c>
      <c r="J6" s="13"/>
    </row>
    <row r="7" spans="1:12">
      <c r="A7" s="1" t="s">
        <v>16</v>
      </c>
      <c r="G7" s="1" t="s">
        <v>258</v>
      </c>
    </row>
    <row r="8" spans="1:12">
      <c r="A8" s="1" t="s">
        <v>15</v>
      </c>
      <c r="G8" s="1" t="s">
        <v>72</v>
      </c>
    </row>
    <row r="9" spans="1:12">
      <c r="A9" s="177" t="s">
        <v>23</v>
      </c>
      <c r="B9" s="284" t="s">
        <v>0</v>
      </c>
      <c r="C9" s="285"/>
      <c r="D9" s="286"/>
      <c r="E9" s="4" t="s">
        <v>1</v>
      </c>
      <c r="F9" s="4" t="s">
        <v>5</v>
      </c>
      <c r="G9" s="4" t="s">
        <v>3</v>
      </c>
      <c r="H9" s="4" t="s">
        <v>5</v>
      </c>
      <c r="I9" s="4" t="s">
        <v>9</v>
      </c>
      <c r="J9" s="4" t="s">
        <v>10</v>
      </c>
      <c r="K9" s="4" t="s">
        <v>12</v>
      </c>
      <c r="L9" s="4" t="s">
        <v>13</v>
      </c>
    </row>
    <row r="10" spans="1:12">
      <c r="A10" s="175" t="s">
        <v>71</v>
      </c>
      <c r="B10" s="6"/>
      <c r="C10" s="7"/>
      <c r="D10" s="8"/>
      <c r="E10" s="5"/>
      <c r="F10" s="5" t="s">
        <v>6</v>
      </c>
      <c r="G10" s="5" t="s">
        <v>4</v>
      </c>
      <c r="H10" s="5" t="s">
        <v>4</v>
      </c>
      <c r="I10" s="5" t="s">
        <v>8</v>
      </c>
      <c r="J10" s="5" t="s">
        <v>11</v>
      </c>
      <c r="K10" s="5"/>
      <c r="L10" s="5"/>
    </row>
    <row r="11" spans="1:12">
      <c r="A11" s="176"/>
      <c r="B11" s="10"/>
      <c r="C11" s="11"/>
      <c r="D11" s="12"/>
      <c r="E11" s="9"/>
      <c r="F11" s="9" t="s">
        <v>2</v>
      </c>
      <c r="G11" s="9" t="s">
        <v>7</v>
      </c>
      <c r="H11" s="9" t="s">
        <v>2</v>
      </c>
      <c r="I11" s="9" t="s">
        <v>2</v>
      </c>
      <c r="J11" s="9" t="s">
        <v>2</v>
      </c>
      <c r="K11" s="9" t="s">
        <v>2</v>
      </c>
      <c r="L11" s="9"/>
    </row>
    <row r="12" spans="1:12">
      <c r="A12" s="191">
        <v>1</v>
      </c>
      <c r="B12" s="192" t="s">
        <v>168</v>
      </c>
      <c r="C12" s="193"/>
      <c r="D12" s="194"/>
      <c r="E12" s="191" t="s">
        <v>17</v>
      </c>
      <c r="F12" s="195">
        <v>2200</v>
      </c>
      <c r="G12" s="196">
        <v>0</v>
      </c>
      <c r="H12" s="196">
        <v>0</v>
      </c>
      <c r="I12" s="196">
        <v>0</v>
      </c>
      <c r="J12" s="196">
        <v>0</v>
      </c>
      <c r="K12" s="197">
        <f>ROUND($F$12+$H$12+$I$12+$J$12,2)</f>
        <v>2200</v>
      </c>
      <c r="L12" s="245" t="s">
        <v>285</v>
      </c>
    </row>
    <row r="13" spans="1:12">
      <c r="A13" s="198">
        <v>3</v>
      </c>
      <c r="B13" s="199" t="s">
        <v>230</v>
      </c>
      <c r="C13" s="200"/>
      <c r="D13" s="201"/>
      <c r="E13" s="198" t="s">
        <v>169</v>
      </c>
      <c r="F13" s="202">
        <v>21239.25</v>
      </c>
      <c r="G13" s="203">
        <v>0</v>
      </c>
      <c r="H13" s="203">
        <v>0</v>
      </c>
      <c r="I13" s="203">
        <v>0</v>
      </c>
      <c r="J13" s="203">
        <v>4100</v>
      </c>
      <c r="K13" s="204">
        <f>ROUND($F$13+$H$13+$I$13+$J$13,2)</f>
        <v>25339.25</v>
      </c>
      <c r="L13" s="246" t="s">
        <v>286</v>
      </c>
    </row>
    <row r="14" spans="1:12">
      <c r="A14" s="198">
        <v>4</v>
      </c>
      <c r="B14" s="199" t="s">
        <v>278</v>
      </c>
      <c r="C14" s="200"/>
      <c r="D14" s="201"/>
      <c r="E14" s="198" t="s">
        <v>169</v>
      </c>
      <c r="F14" s="202">
        <v>20789.72</v>
      </c>
      <c r="G14" s="203">
        <v>0</v>
      </c>
      <c r="H14" s="203">
        <v>0</v>
      </c>
      <c r="I14" s="203">
        <v>0</v>
      </c>
      <c r="J14" s="203">
        <v>4100</v>
      </c>
      <c r="K14" s="204">
        <f>ROUND($F$14+$H$14+$I$14+$J$14,2)</f>
        <v>24889.72</v>
      </c>
      <c r="L14" s="246" t="s">
        <v>299</v>
      </c>
    </row>
    <row r="15" spans="1:12">
      <c r="A15" s="198">
        <v>5</v>
      </c>
      <c r="B15" s="199" t="s">
        <v>129</v>
      </c>
      <c r="C15" s="200"/>
      <c r="D15" s="201"/>
      <c r="E15" s="198" t="s">
        <v>169</v>
      </c>
      <c r="F15" s="202">
        <v>20803.740000000002</v>
      </c>
      <c r="G15" s="203">
        <v>0</v>
      </c>
      <c r="H15" s="203">
        <v>0</v>
      </c>
      <c r="I15" s="203">
        <v>0</v>
      </c>
      <c r="J15" s="203">
        <v>3300</v>
      </c>
      <c r="K15" s="204">
        <f>ROUND($F$15+$H$15+$I$15+$J$15,2)</f>
        <v>24103.74</v>
      </c>
      <c r="L15" s="246" t="s">
        <v>287</v>
      </c>
    </row>
    <row r="16" spans="1:12">
      <c r="A16" s="198">
        <v>6</v>
      </c>
      <c r="B16" s="199" t="s">
        <v>229</v>
      </c>
      <c r="C16" s="200"/>
      <c r="D16" s="201"/>
      <c r="E16" s="198" t="s">
        <v>169</v>
      </c>
      <c r="F16" s="202">
        <v>20803.740000000002</v>
      </c>
      <c r="G16" s="203">
        <v>0</v>
      </c>
      <c r="H16" s="203">
        <v>0</v>
      </c>
      <c r="I16" s="203">
        <v>0</v>
      </c>
      <c r="J16" s="203">
        <v>3300</v>
      </c>
      <c r="K16" s="204">
        <f>ROUND($F$16+$H$16+$I$16+$J$16,2)</f>
        <v>24103.74</v>
      </c>
      <c r="L16" s="246" t="s">
        <v>288</v>
      </c>
    </row>
    <row r="17" spans="1:12">
      <c r="A17" s="198">
        <v>7</v>
      </c>
      <c r="B17" s="199" t="s">
        <v>228</v>
      </c>
      <c r="C17" s="200"/>
      <c r="D17" s="201"/>
      <c r="E17" s="198" t="s">
        <v>169</v>
      </c>
      <c r="F17" s="202">
        <v>20145.79</v>
      </c>
      <c r="G17" s="203">
        <v>0</v>
      </c>
      <c r="H17" s="203">
        <v>0</v>
      </c>
      <c r="I17" s="203">
        <v>0</v>
      </c>
      <c r="J17" s="203">
        <v>3300</v>
      </c>
      <c r="K17" s="204">
        <f>ROUND($F$17+$H$17+$I$17+$J$17,2)</f>
        <v>23445.79</v>
      </c>
      <c r="L17" s="246" t="s">
        <v>289</v>
      </c>
    </row>
    <row r="18" spans="1:12">
      <c r="A18" s="198">
        <v>8</v>
      </c>
      <c r="B18" s="199" t="s">
        <v>231</v>
      </c>
      <c r="C18" s="200"/>
      <c r="D18" s="201"/>
      <c r="E18" s="198" t="s">
        <v>232</v>
      </c>
      <c r="F18" s="202">
        <v>67.290000000000006</v>
      </c>
      <c r="G18" s="203">
        <v>0</v>
      </c>
      <c r="H18" s="203">
        <v>0</v>
      </c>
      <c r="I18" s="203">
        <v>0</v>
      </c>
      <c r="J18" s="203">
        <v>0</v>
      </c>
      <c r="K18" s="204">
        <f>ROUND($F$18+$H$18+$I$18+$J$18,2)</f>
        <v>67.290000000000006</v>
      </c>
      <c r="L18" s="246" t="s">
        <v>290</v>
      </c>
    </row>
    <row r="19" spans="1:12">
      <c r="A19" s="198">
        <v>9</v>
      </c>
      <c r="B19" s="200" t="s">
        <v>170</v>
      </c>
      <c r="C19" s="200"/>
      <c r="D19" s="201"/>
      <c r="E19" s="198" t="s">
        <v>169</v>
      </c>
      <c r="F19" s="202">
        <v>2803.74</v>
      </c>
      <c r="G19" s="203">
        <v>0</v>
      </c>
      <c r="H19" s="203">
        <v>0</v>
      </c>
      <c r="I19" s="203">
        <v>0</v>
      </c>
      <c r="J19" s="203">
        <v>0</v>
      </c>
      <c r="K19" s="204">
        <f>ROUND($F$19+$H$19+$I$19+$J$19,2)</f>
        <v>2803.74</v>
      </c>
      <c r="L19" s="246" t="s">
        <v>291</v>
      </c>
    </row>
    <row r="20" spans="1:12">
      <c r="A20" s="198">
        <v>10</v>
      </c>
      <c r="B20" s="200" t="s">
        <v>171</v>
      </c>
      <c r="C20" s="200"/>
      <c r="D20" s="201"/>
      <c r="E20" s="198" t="s">
        <v>17</v>
      </c>
      <c r="F20" s="202">
        <v>373.83</v>
      </c>
      <c r="G20" s="203">
        <v>65</v>
      </c>
      <c r="H20" s="221">
        <v>142.38</v>
      </c>
      <c r="I20" s="203">
        <v>0</v>
      </c>
      <c r="J20" s="203">
        <v>0</v>
      </c>
      <c r="K20" s="204">
        <f>ROUND($F$20+$H$20+$I$20+$J$20,2)</f>
        <v>516.21</v>
      </c>
      <c r="L20" s="246" t="s">
        <v>292</v>
      </c>
    </row>
    <row r="21" spans="1:12">
      <c r="A21" s="198">
        <v>11</v>
      </c>
      <c r="B21" s="200" t="s">
        <v>172</v>
      </c>
      <c r="C21" s="200"/>
      <c r="D21" s="201"/>
      <c r="E21" s="198" t="s">
        <v>17</v>
      </c>
      <c r="F21" s="202">
        <v>470.09</v>
      </c>
      <c r="G21" s="203">
        <v>65</v>
      </c>
      <c r="H21" s="221">
        <v>142.38</v>
      </c>
      <c r="I21" s="203">
        <v>0</v>
      </c>
      <c r="J21" s="203">
        <v>0</v>
      </c>
      <c r="K21" s="204">
        <f>ROUND($F$21+$H$21+$I$21+$J$21,2)</f>
        <v>612.47</v>
      </c>
      <c r="L21" s="246" t="s">
        <v>293</v>
      </c>
    </row>
    <row r="22" spans="1:12">
      <c r="A22" s="198">
        <v>12</v>
      </c>
      <c r="B22" s="200" t="s">
        <v>173</v>
      </c>
      <c r="C22" s="200"/>
      <c r="D22" s="201"/>
      <c r="E22" s="198" t="s">
        <v>17</v>
      </c>
      <c r="F22" s="202">
        <v>299.07</v>
      </c>
      <c r="G22" s="203">
        <v>0</v>
      </c>
      <c r="H22" s="203">
        <v>0</v>
      </c>
      <c r="I22" s="203">
        <v>0</v>
      </c>
      <c r="J22" s="203">
        <v>0</v>
      </c>
      <c r="K22" s="204">
        <f>ROUND($F$22+$H$22+$I$22+$J$22,2)</f>
        <v>299.07</v>
      </c>
      <c r="L22" s="246" t="s">
        <v>294</v>
      </c>
    </row>
    <row r="23" spans="1:12">
      <c r="A23" s="198">
        <v>13</v>
      </c>
      <c r="B23" s="205" t="s">
        <v>194</v>
      </c>
      <c r="C23" s="200"/>
      <c r="D23" s="201"/>
      <c r="E23" s="198" t="s">
        <v>17</v>
      </c>
      <c r="F23" s="222">
        <v>120</v>
      </c>
      <c r="G23" s="203">
        <v>0</v>
      </c>
      <c r="H23" s="203">
        <v>0</v>
      </c>
      <c r="I23" s="203">
        <v>0</v>
      </c>
      <c r="J23" s="203">
        <v>0</v>
      </c>
      <c r="K23" s="204">
        <f>ROUND($F$23+$H$23+$I$23+$J$23,2)</f>
        <v>120</v>
      </c>
      <c r="L23" s="246" t="s">
        <v>175</v>
      </c>
    </row>
    <row r="24" spans="1:12">
      <c r="A24" s="198">
        <v>14</v>
      </c>
      <c r="B24" s="206" t="s">
        <v>176</v>
      </c>
      <c r="C24" s="200"/>
      <c r="D24" s="201"/>
      <c r="E24" s="198" t="s">
        <v>174</v>
      </c>
      <c r="F24" s="202">
        <v>400</v>
      </c>
      <c r="G24" s="203">
        <v>0</v>
      </c>
      <c r="H24" s="203">
        <v>0</v>
      </c>
      <c r="I24" s="203">
        <v>0</v>
      </c>
      <c r="J24" s="203">
        <v>0</v>
      </c>
      <c r="K24" s="204">
        <f>ROUND($F$24+$H$24+$I$24+$J$24,2)</f>
        <v>400</v>
      </c>
      <c r="L24" s="246" t="s">
        <v>175</v>
      </c>
    </row>
    <row r="25" spans="1:12">
      <c r="A25" s="198">
        <v>15</v>
      </c>
      <c r="B25" s="200" t="s">
        <v>177</v>
      </c>
      <c r="C25" s="200"/>
      <c r="D25" s="201"/>
      <c r="E25" s="198" t="s">
        <v>178</v>
      </c>
      <c r="F25" s="202">
        <v>696.26</v>
      </c>
      <c r="G25" s="203">
        <v>0</v>
      </c>
      <c r="H25" s="203">
        <v>0</v>
      </c>
      <c r="I25" s="203">
        <v>0</v>
      </c>
      <c r="J25" s="203">
        <v>0</v>
      </c>
      <c r="K25" s="204">
        <f>ROUND($F$25+$H$25+$I$25+$J$25,2)</f>
        <v>696.26</v>
      </c>
      <c r="L25" s="246" t="s">
        <v>295</v>
      </c>
    </row>
    <row r="26" spans="1:12">
      <c r="A26" s="198">
        <v>16</v>
      </c>
      <c r="B26" s="200" t="s">
        <v>179</v>
      </c>
      <c r="C26" s="200"/>
      <c r="D26" s="201"/>
      <c r="E26" s="198" t="s">
        <v>178</v>
      </c>
      <c r="F26" s="202">
        <v>582.24</v>
      </c>
      <c r="G26" s="203">
        <v>0</v>
      </c>
      <c r="H26" s="203">
        <v>0</v>
      </c>
      <c r="I26" s="203">
        <v>0</v>
      </c>
      <c r="J26" s="203">
        <v>0</v>
      </c>
      <c r="K26" s="204">
        <f>ROUND($F$26+$H$26+$I$26+$J$26,2)</f>
        <v>582.24</v>
      </c>
      <c r="L26" s="246" t="s">
        <v>296</v>
      </c>
    </row>
    <row r="27" spans="1:12" ht="22.5">
      <c r="A27" s="198">
        <v>17</v>
      </c>
      <c r="B27" s="200" t="s">
        <v>180</v>
      </c>
      <c r="C27" s="200"/>
      <c r="D27" s="201"/>
      <c r="E27" s="198" t="s">
        <v>174</v>
      </c>
      <c r="F27" s="207">
        <v>0</v>
      </c>
      <c r="G27" s="203">
        <v>0</v>
      </c>
      <c r="H27" s="203">
        <v>0</v>
      </c>
      <c r="I27" s="203">
        <v>0</v>
      </c>
      <c r="J27" s="203">
        <v>0</v>
      </c>
      <c r="K27" s="204">
        <f>ROUND($F$27+$H$27+$I$27+$J$27,2)</f>
        <v>0</v>
      </c>
      <c r="L27" s="246" t="s">
        <v>175</v>
      </c>
    </row>
    <row r="28" spans="1:12">
      <c r="A28" s="198">
        <v>18</v>
      </c>
      <c r="B28" s="208" t="s">
        <v>181</v>
      </c>
      <c r="C28" s="200"/>
      <c r="D28" s="201"/>
      <c r="E28" s="198" t="s">
        <v>113</v>
      </c>
      <c r="F28" s="202">
        <v>37.380000000000003</v>
      </c>
      <c r="G28" s="203">
        <v>0</v>
      </c>
      <c r="H28" s="203">
        <v>0</v>
      </c>
      <c r="I28" s="203">
        <v>0</v>
      </c>
      <c r="J28" s="203">
        <v>0</v>
      </c>
      <c r="K28" s="204">
        <f>ROUND($F$28+$H$28+$I$28+$J$28,2)</f>
        <v>37.380000000000003</v>
      </c>
      <c r="L28" s="246" t="s">
        <v>297</v>
      </c>
    </row>
    <row r="29" spans="1:12">
      <c r="A29" s="198">
        <v>19</v>
      </c>
      <c r="B29" s="208" t="s">
        <v>281</v>
      </c>
      <c r="C29" s="200"/>
      <c r="D29" s="201"/>
      <c r="E29" s="198" t="s">
        <v>174</v>
      </c>
      <c r="F29" s="202">
        <v>520</v>
      </c>
      <c r="G29" s="203">
        <v>0</v>
      </c>
      <c r="H29" s="203">
        <v>0</v>
      </c>
      <c r="I29" s="203">
        <v>0</v>
      </c>
      <c r="J29" s="203">
        <v>0</v>
      </c>
      <c r="K29" s="204">
        <f>ROUND($F$29+$H$29+$I$29+$J$29,2)</f>
        <v>520</v>
      </c>
      <c r="L29" s="246" t="s">
        <v>175</v>
      </c>
    </row>
    <row r="30" spans="1:12">
      <c r="A30" s="198">
        <v>20</v>
      </c>
      <c r="B30" s="209" t="s">
        <v>214</v>
      </c>
      <c r="C30" s="200"/>
      <c r="D30" s="201"/>
      <c r="E30" s="198" t="s">
        <v>174</v>
      </c>
      <c r="F30" s="202">
        <v>189.25</v>
      </c>
      <c r="G30" s="203">
        <v>0</v>
      </c>
      <c r="H30" s="203">
        <v>0</v>
      </c>
      <c r="I30" s="203">
        <v>0</v>
      </c>
      <c r="J30" s="203">
        <v>0</v>
      </c>
      <c r="K30" s="204">
        <f>ROUND($F$30+$H$30+$I$30+$J$30,2)</f>
        <v>189.25</v>
      </c>
      <c r="L30" s="246" t="s">
        <v>298</v>
      </c>
    </row>
    <row r="31" spans="1:12">
      <c r="A31" s="198">
        <v>21</v>
      </c>
      <c r="B31" s="210" t="s">
        <v>115</v>
      </c>
      <c r="C31" s="200"/>
      <c r="D31" s="201"/>
      <c r="E31" s="198" t="s">
        <v>174</v>
      </c>
      <c r="F31" s="207">
        <v>3.79</v>
      </c>
      <c r="G31" s="203">
        <v>0</v>
      </c>
      <c r="H31" s="203">
        <v>0</v>
      </c>
      <c r="I31" s="203">
        <v>0</v>
      </c>
      <c r="J31" s="203">
        <v>0</v>
      </c>
      <c r="K31" s="204">
        <f>ROUND($F$31+$H$31+$I$31+$J$31,2)</f>
        <v>3.79</v>
      </c>
      <c r="L31" s="246" t="s">
        <v>175</v>
      </c>
    </row>
    <row r="32" spans="1:12">
      <c r="A32" s="198">
        <v>22</v>
      </c>
      <c r="B32" s="210" t="s">
        <v>243</v>
      </c>
      <c r="C32" s="200"/>
      <c r="D32" s="201"/>
      <c r="E32" s="198" t="s">
        <v>22</v>
      </c>
      <c r="F32" s="207">
        <v>25</v>
      </c>
      <c r="G32" s="203">
        <v>0</v>
      </c>
      <c r="H32" s="203">
        <v>0</v>
      </c>
      <c r="I32" s="203">
        <v>0</v>
      </c>
      <c r="J32" s="203">
        <v>0</v>
      </c>
      <c r="K32" s="204">
        <f>ROUND($F$32+$H$32+$I$32+$J$32,2)</f>
        <v>25</v>
      </c>
      <c r="L32" s="246" t="s">
        <v>175</v>
      </c>
    </row>
    <row r="33" spans="1:12">
      <c r="A33" s="198">
        <v>23</v>
      </c>
      <c r="B33" s="210" t="s">
        <v>117</v>
      </c>
      <c r="C33" s="200"/>
      <c r="D33" s="201"/>
      <c r="E33" s="198" t="s">
        <v>118</v>
      </c>
      <c r="F33" s="207">
        <v>30</v>
      </c>
      <c r="G33" s="203">
        <v>0</v>
      </c>
      <c r="H33" s="203">
        <v>0</v>
      </c>
      <c r="I33" s="203">
        <v>0</v>
      </c>
      <c r="J33" s="203">
        <v>0</v>
      </c>
      <c r="K33" s="204">
        <f>ROUND($F$33+$H$33+$I$33+$J$33,2)</f>
        <v>30</v>
      </c>
      <c r="L33" s="246" t="s">
        <v>175</v>
      </c>
    </row>
    <row r="34" spans="1:12">
      <c r="A34" s="198">
        <v>24</v>
      </c>
      <c r="B34" s="210" t="s">
        <v>121</v>
      </c>
      <c r="C34" s="200"/>
      <c r="D34" s="201"/>
      <c r="E34" s="198" t="s">
        <v>34</v>
      </c>
      <c r="F34" s="207">
        <v>0</v>
      </c>
      <c r="G34" s="203">
        <v>0</v>
      </c>
      <c r="H34" s="203">
        <v>0</v>
      </c>
      <c r="I34" s="203">
        <v>0</v>
      </c>
      <c r="J34" s="203">
        <v>0</v>
      </c>
      <c r="K34" s="204">
        <f>ROUND($F$34+$H$34+$I$34+$J$34,2)</f>
        <v>0</v>
      </c>
      <c r="L34" s="246" t="s">
        <v>175</v>
      </c>
    </row>
    <row r="35" spans="1:12">
      <c r="A35" s="198"/>
      <c r="B35" s="210"/>
      <c r="C35" s="200"/>
      <c r="D35" s="201"/>
      <c r="E35" s="198"/>
      <c r="F35" s="223"/>
      <c r="G35" s="203"/>
      <c r="H35" s="203"/>
      <c r="I35" s="203"/>
      <c r="J35" s="203"/>
      <c r="K35" s="204"/>
      <c r="L35" s="198"/>
    </row>
    <row r="36" spans="1:12">
      <c r="A36" s="211"/>
      <c r="B36" s="212"/>
      <c r="C36" s="213"/>
      <c r="D36" s="214"/>
      <c r="E36" s="215"/>
      <c r="F36" s="216"/>
      <c r="G36" s="215"/>
      <c r="H36" s="215"/>
      <c r="I36" s="215"/>
      <c r="J36" s="215"/>
      <c r="K36" s="215"/>
      <c r="L36" s="215"/>
    </row>
    <row r="37" spans="1:12">
      <c r="A37" s="2"/>
    </row>
  </sheetData>
  <mergeCells count="2">
    <mergeCell ref="A1:L1"/>
    <mergeCell ref="B9:D9"/>
  </mergeCells>
  <printOptions horizontalCentered="1"/>
  <pageMargins left="0.59055118110236227" right="0" top="0.59055118110236227" bottom="0.19685039370078741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view="pageBreakPreview" zoomScale="120" zoomScaleSheetLayoutView="120" workbookViewId="0">
      <selection activeCell="K24" sqref="K24"/>
    </sheetView>
  </sheetViews>
  <sheetFormatPr defaultRowHeight="21"/>
  <cols>
    <col min="1" max="3" width="9" style="1"/>
    <col min="4" max="4" width="2" style="1" customWidth="1"/>
    <col min="5" max="5" width="7.5" style="1" customWidth="1"/>
    <col min="6" max="6" width="7.625" style="1" customWidth="1"/>
    <col min="7" max="7" width="5.125" style="1" customWidth="1"/>
    <col min="8" max="8" width="3.125" style="1" customWidth="1"/>
    <col min="9" max="9" width="5" style="1" customWidth="1"/>
    <col min="10" max="10" width="4.625" style="1" customWidth="1"/>
    <col min="11" max="11" width="4" style="1" customWidth="1"/>
    <col min="12" max="12" width="4.75" style="1" customWidth="1"/>
    <col min="13" max="13" width="2.5" style="1" customWidth="1"/>
    <col min="14" max="14" width="9" style="1"/>
    <col min="15" max="15" width="6.5" style="1" customWidth="1"/>
    <col min="16" max="16384" width="9" style="1"/>
  </cols>
  <sheetData>
    <row r="1" spans="1:15">
      <c r="A1" s="62" t="s">
        <v>264</v>
      </c>
      <c r="B1" s="228"/>
      <c r="C1" s="228"/>
      <c r="D1" s="15"/>
      <c r="E1" s="15"/>
      <c r="F1" s="15"/>
      <c r="G1" s="15"/>
      <c r="H1" s="15"/>
      <c r="I1" s="15"/>
      <c r="J1" s="15"/>
      <c r="K1" s="15"/>
      <c r="L1" s="15"/>
      <c r="M1" s="15"/>
      <c r="N1" s="226"/>
      <c r="O1" s="68"/>
    </row>
    <row r="2" spans="1:15">
      <c r="A2" s="18" t="s">
        <v>265</v>
      </c>
      <c r="B2" s="15"/>
      <c r="C2" s="15"/>
      <c r="D2" s="15"/>
      <c r="E2" s="15"/>
      <c r="F2" s="20"/>
      <c r="G2" s="226"/>
      <c r="H2" s="15"/>
      <c r="I2" s="15"/>
      <c r="J2" s="15"/>
      <c r="K2" s="15"/>
      <c r="L2" s="15"/>
      <c r="M2" s="15"/>
      <c r="N2" s="226"/>
      <c r="O2" s="68"/>
    </row>
    <row r="3" spans="1:15">
      <c r="A3" s="78" t="s">
        <v>277</v>
      </c>
      <c r="B3" s="15"/>
      <c r="C3" s="15"/>
      <c r="D3" s="15"/>
      <c r="E3" s="15"/>
      <c r="F3" s="229">
        <v>0.23</v>
      </c>
      <c r="G3" s="17" t="s">
        <v>20</v>
      </c>
      <c r="H3" s="226" t="s">
        <v>114</v>
      </c>
      <c r="I3" s="288">
        <f>ค่าวัสดุและดำเนินการ!K12</f>
        <v>2200</v>
      </c>
      <c r="J3" s="288"/>
      <c r="K3" s="15"/>
      <c r="L3" s="15"/>
      <c r="M3" s="226" t="s">
        <v>21</v>
      </c>
      <c r="N3" s="230">
        <f t="shared" ref="N3:N12" si="0">F3*I3</f>
        <v>506</v>
      </c>
      <c r="O3" s="226" t="s">
        <v>19</v>
      </c>
    </row>
    <row r="4" spans="1:15">
      <c r="A4" s="15" t="s">
        <v>266</v>
      </c>
      <c r="B4" s="15"/>
      <c r="C4" s="15"/>
      <c r="D4" s="15"/>
      <c r="E4" s="15"/>
      <c r="F4" s="231">
        <v>28</v>
      </c>
      <c r="G4" s="17" t="s">
        <v>113</v>
      </c>
      <c r="H4" s="226" t="s">
        <v>114</v>
      </c>
      <c r="I4" s="287">
        <f>ค่าวัสดุและดำเนินการ!K14/1000</f>
        <v>24.889720000000001</v>
      </c>
      <c r="J4" s="287"/>
      <c r="K4" s="15"/>
      <c r="L4" s="15"/>
      <c r="M4" s="226" t="s">
        <v>21</v>
      </c>
      <c r="N4" s="230">
        <f t="shared" si="0"/>
        <v>696.91215999999997</v>
      </c>
      <c r="O4" s="226" t="s">
        <v>19</v>
      </c>
    </row>
    <row r="5" spans="1:15">
      <c r="A5" s="15" t="s">
        <v>210</v>
      </c>
      <c r="B5" s="15"/>
      <c r="C5" s="15"/>
      <c r="D5" s="15"/>
      <c r="E5" s="15"/>
      <c r="F5" s="244">
        <f>(F4)*0.025</f>
        <v>0.70000000000000007</v>
      </c>
      <c r="G5" s="17" t="s">
        <v>113</v>
      </c>
      <c r="H5" s="226" t="s">
        <v>114</v>
      </c>
      <c r="I5" s="289">
        <f>ค่าวัสดุและดำเนินการ!K18</f>
        <v>67.290000000000006</v>
      </c>
      <c r="J5" s="290"/>
      <c r="K5" s="15"/>
      <c r="L5" s="15"/>
      <c r="M5" s="226" t="s">
        <v>21</v>
      </c>
      <c r="N5" s="230">
        <f t="shared" si="0"/>
        <v>47.103000000000009</v>
      </c>
      <c r="O5" s="226" t="s">
        <v>19</v>
      </c>
    </row>
    <row r="6" spans="1:15">
      <c r="A6" s="15" t="s">
        <v>267</v>
      </c>
      <c r="B6" s="15"/>
      <c r="C6" s="15"/>
      <c r="D6" s="15"/>
      <c r="E6" s="15"/>
      <c r="F6" s="231">
        <v>4</v>
      </c>
      <c r="G6" s="17" t="s">
        <v>22</v>
      </c>
      <c r="H6" s="226" t="s">
        <v>114</v>
      </c>
      <c r="I6" s="289">
        <f>แบบหล่อคอนกรีต!G11</f>
        <v>353</v>
      </c>
      <c r="J6" s="290"/>
      <c r="K6" s="15"/>
      <c r="L6" s="15"/>
      <c r="M6" s="226" t="s">
        <v>21</v>
      </c>
      <c r="N6" s="230">
        <f t="shared" si="0"/>
        <v>1412</v>
      </c>
      <c r="O6" s="226" t="s">
        <v>19</v>
      </c>
    </row>
    <row r="7" spans="1:15">
      <c r="A7" s="15" t="s">
        <v>282</v>
      </c>
      <c r="B7" s="15"/>
      <c r="C7" s="15"/>
      <c r="D7" s="15"/>
      <c r="E7" s="15"/>
      <c r="F7" s="231">
        <v>2.8</v>
      </c>
      <c r="G7" s="17" t="s">
        <v>120</v>
      </c>
      <c r="H7" s="226" t="s">
        <v>114</v>
      </c>
      <c r="I7" s="291">
        <f>ค่าวัสดุและดำเนินการ!K29/6</f>
        <v>86.666666666666671</v>
      </c>
      <c r="J7" s="291"/>
      <c r="K7" s="15"/>
      <c r="L7" s="15"/>
      <c r="M7" s="226" t="s">
        <v>21</v>
      </c>
      <c r="N7" s="230">
        <f t="shared" si="0"/>
        <v>242.66666666666666</v>
      </c>
      <c r="O7" s="226" t="s">
        <v>19</v>
      </c>
    </row>
    <row r="8" spans="1:15">
      <c r="A8" s="15" t="s">
        <v>268</v>
      </c>
      <c r="B8" s="15"/>
      <c r="C8" s="15"/>
      <c r="D8" s="15"/>
      <c r="E8" s="15"/>
      <c r="F8" s="231">
        <v>0</v>
      </c>
      <c r="G8" s="17" t="s">
        <v>269</v>
      </c>
      <c r="H8" s="226" t="s">
        <v>114</v>
      </c>
      <c r="I8" s="292">
        <v>0</v>
      </c>
      <c r="J8" s="292"/>
      <c r="K8" s="15"/>
      <c r="L8" s="15"/>
      <c r="M8" s="226" t="s">
        <v>21</v>
      </c>
      <c r="N8" s="230">
        <f t="shared" si="0"/>
        <v>0</v>
      </c>
      <c r="O8" s="226" t="s">
        <v>19</v>
      </c>
    </row>
    <row r="9" spans="1:15">
      <c r="A9" s="15" t="s">
        <v>270</v>
      </c>
      <c r="B9" s="15"/>
      <c r="C9" s="15"/>
      <c r="D9" s="15"/>
      <c r="E9" s="15"/>
      <c r="F9" s="231">
        <v>0.38</v>
      </c>
      <c r="G9" s="17" t="s">
        <v>20</v>
      </c>
      <c r="H9" s="226" t="s">
        <v>114</v>
      </c>
      <c r="I9" s="292">
        <v>21.28</v>
      </c>
      <c r="J9" s="292"/>
      <c r="K9" s="15"/>
      <c r="L9" s="15"/>
      <c r="M9" s="226" t="s">
        <v>21</v>
      </c>
      <c r="N9" s="230">
        <f t="shared" si="0"/>
        <v>8.0864000000000011</v>
      </c>
      <c r="O9" s="226" t="s">
        <v>19</v>
      </c>
    </row>
    <row r="10" spans="1:15">
      <c r="A10" s="78" t="s">
        <v>271</v>
      </c>
      <c r="B10" s="78"/>
      <c r="C10" s="78"/>
      <c r="D10" s="78"/>
      <c r="E10" s="233"/>
      <c r="F10" s="234">
        <v>0</v>
      </c>
      <c r="G10" s="17" t="s">
        <v>20</v>
      </c>
      <c r="H10" s="227" t="s">
        <v>114</v>
      </c>
      <c r="I10" s="293">
        <v>0</v>
      </c>
      <c r="J10" s="293"/>
      <c r="M10" s="226" t="s">
        <v>21</v>
      </c>
      <c r="N10" s="239">
        <f t="shared" si="0"/>
        <v>0</v>
      </c>
      <c r="O10" s="226" t="s">
        <v>19</v>
      </c>
    </row>
    <row r="11" spans="1:15">
      <c r="A11" s="78" t="s">
        <v>272</v>
      </c>
      <c r="B11" s="78"/>
      <c r="C11" s="78"/>
      <c r="D11" s="78"/>
      <c r="E11" s="233"/>
      <c r="F11" s="234">
        <v>0.03</v>
      </c>
      <c r="G11" s="17" t="s">
        <v>20</v>
      </c>
      <c r="H11" s="227" t="s">
        <v>114</v>
      </c>
      <c r="I11" s="294">
        <f>ทรายหยาบรองใต้ผิวคอนกรีต!I8</f>
        <v>645</v>
      </c>
      <c r="J11" s="294"/>
      <c r="M11" s="226" t="s">
        <v>21</v>
      </c>
      <c r="N11" s="239">
        <f t="shared" si="0"/>
        <v>19.349999999999998</v>
      </c>
      <c r="O11" s="226" t="s">
        <v>19</v>
      </c>
    </row>
    <row r="12" spans="1:15">
      <c r="A12" s="15" t="s">
        <v>273</v>
      </c>
      <c r="B12" s="15"/>
      <c r="C12" s="15"/>
      <c r="D12" s="15"/>
      <c r="E12" s="15"/>
      <c r="F12" s="229">
        <v>0</v>
      </c>
      <c r="G12" s="17" t="s">
        <v>22</v>
      </c>
      <c r="H12" s="226" t="s">
        <v>114</v>
      </c>
      <c r="I12" s="292">
        <v>0</v>
      </c>
      <c r="J12" s="292"/>
      <c r="K12" s="15"/>
      <c r="L12" s="15"/>
      <c r="M12" s="226" t="s">
        <v>21</v>
      </c>
      <c r="N12" s="240">
        <f t="shared" si="0"/>
        <v>0</v>
      </c>
      <c r="O12" s="226" t="s">
        <v>19</v>
      </c>
    </row>
    <row r="13" spans="1:15" ht="21.75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9" t="s">
        <v>274</v>
      </c>
      <c r="L13" s="15"/>
      <c r="M13" s="226" t="s">
        <v>21</v>
      </c>
      <c r="N13" s="235">
        <f>ROUND(SUM(N3:N12),2)</f>
        <v>2932.12</v>
      </c>
      <c r="O13" s="226" t="s">
        <v>19</v>
      </c>
    </row>
    <row r="14" spans="1:15" ht="21.75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26"/>
      <c r="O14" s="68"/>
    </row>
    <row r="15" spans="1:15">
      <c r="A15" s="18" t="s">
        <v>279</v>
      </c>
      <c r="B15" s="15"/>
      <c r="C15" s="15"/>
      <c r="D15" s="15"/>
      <c r="E15" s="15"/>
      <c r="F15" s="15"/>
      <c r="G15" s="17"/>
      <c r="H15" s="226"/>
      <c r="I15" s="15"/>
      <c r="J15" s="15"/>
      <c r="K15" s="15"/>
      <c r="L15" s="15"/>
      <c r="M15" s="15"/>
      <c r="N15" s="226"/>
      <c r="O15" s="68"/>
    </row>
    <row r="16" spans="1:15">
      <c r="A16" s="78" t="s">
        <v>277</v>
      </c>
      <c r="B16" s="15"/>
      <c r="C16" s="15"/>
      <c r="D16" s="15"/>
      <c r="E16" s="15"/>
      <c r="F16" s="229">
        <v>7.0000000000000007E-2</v>
      </c>
      <c r="G16" s="17" t="s">
        <v>20</v>
      </c>
      <c r="H16" s="226" t="s">
        <v>114</v>
      </c>
      <c r="I16" s="288">
        <f>ค่าวัสดุและดำเนินการ!K12</f>
        <v>2200</v>
      </c>
      <c r="J16" s="288"/>
      <c r="K16" s="15"/>
      <c r="L16" s="15"/>
      <c r="M16" s="226" t="s">
        <v>21</v>
      </c>
      <c r="N16" s="230">
        <f t="shared" ref="N16:N21" si="1">F16*I16</f>
        <v>154.00000000000003</v>
      </c>
      <c r="O16" s="226" t="s">
        <v>19</v>
      </c>
    </row>
    <row r="17" spans="1:15">
      <c r="A17" s="15" t="s">
        <v>266</v>
      </c>
      <c r="B17" s="15"/>
      <c r="C17" s="15"/>
      <c r="D17" s="15"/>
      <c r="E17" s="15"/>
      <c r="F17" s="231">
        <v>14.69</v>
      </c>
      <c r="G17" s="17" t="s">
        <v>113</v>
      </c>
      <c r="H17" s="226" t="s">
        <v>114</v>
      </c>
      <c r="I17" s="287">
        <f>ค่าวัสดุและดำเนินการ!K14/1000</f>
        <v>24.889720000000001</v>
      </c>
      <c r="J17" s="287"/>
      <c r="K17" s="15"/>
      <c r="L17" s="15"/>
      <c r="M17" s="226" t="s">
        <v>21</v>
      </c>
      <c r="N17" s="230">
        <f t="shared" si="1"/>
        <v>365.62998679999998</v>
      </c>
      <c r="O17" s="226" t="s">
        <v>19</v>
      </c>
    </row>
    <row r="18" spans="1:15">
      <c r="A18" s="15" t="s">
        <v>210</v>
      </c>
      <c r="B18" s="15"/>
      <c r="C18" s="15"/>
      <c r="D18" s="15"/>
      <c r="E18" s="15"/>
      <c r="F18" s="232">
        <f>(F17)*0.025</f>
        <v>0.36725000000000002</v>
      </c>
      <c r="G18" s="17" t="s">
        <v>113</v>
      </c>
      <c r="H18" s="226" t="s">
        <v>114</v>
      </c>
      <c r="I18" s="289">
        <f>ค่าวัสดุและดำเนินการ!K18</f>
        <v>67.290000000000006</v>
      </c>
      <c r="J18" s="290"/>
      <c r="K18" s="15"/>
      <c r="L18" s="15"/>
      <c r="M18" s="226" t="s">
        <v>21</v>
      </c>
      <c r="N18" s="230">
        <f t="shared" si="1"/>
        <v>24.712252500000005</v>
      </c>
      <c r="O18" s="226" t="s">
        <v>19</v>
      </c>
    </row>
    <row r="19" spans="1:15">
      <c r="A19" s="15" t="s">
        <v>122</v>
      </c>
      <c r="B19" s="15"/>
      <c r="C19" s="15"/>
      <c r="D19" s="15"/>
      <c r="E19" s="15"/>
      <c r="F19" s="231">
        <v>0.9</v>
      </c>
      <c r="G19" s="17" t="s">
        <v>22</v>
      </c>
      <c r="H19" s="226" t="s">
        <v>114</v>
      </c>
      <c r="I19" s="289">
        <f>แบบหล่อคอนกรีต!G24</f>
        <v>309</v>
      </c>
      <c r="J19" s="290"/>
      <c r="K19" s="15"/>
      <c r="L19" s="15"/>
      <c r="M19" s="226" t="s">
        <v>21</v>
      </c>
      <c r="N19" s="230">
        <f t="shared" si="1"/>
        <v>278.10000000000002</v>
      </c>
      <c r="O19" s="226" t="s">
        <v>19</v>
      </c>
    </row>
    <row r="20" spans="1:15">
      <c r="A20" s="15" t="s">
        <v>282</v>
      </c>
      <c r="B20" s="15"/>
      <c r="C20" s="15"/>
      <c r="D20" s="15"/>
      <c r="E20" s="15"/>
      <c r="F20" s="231">
        <v>0</v>
      </c>
      <c r="G20" s="17" t="s">
        <v>120</v>
      </c>
      <c r="H20" s="226" t="s">
        <v>114</v>
      </c>
      <c r="I20" s="291">
        <f>ค่าวัสดุและดำเนินการ!K29/6</f>
        <v>86.666666666666671</v>
      </c>
      <c r="J20" s="291"/>
      <c r="K20" s="15"/>
      <c r="L20" s="15"/>
      <c r="M20" s="226" t="s">
        <v>21</v>
      </c>
      <c r="N20" s="230">
        <f t="shared" si="1"/>
        <v>0</v>
      </c>
      <c r="O20" s="226" t="s">
        <v>19</v>
      </c>
    </row>
    <row r="21" spans="1:15">
      <c r="A21" s="15" t="s">
        <v>268</v>
      </c>
      <c r="B21" s="15"/>
      <c r="C21" s="15"/>
      <c r="D21" s="15"/>
      <c r="E21" s="15"/>
      <c r="F21" s="231">
        <v>0</v>
      </c>
      <c r="G21" s="17" t="s">
        <v>269</v>
      </c>
      <c r="H21" s="226" t="s">
        <v>114</v>
      </c>
      <c r="I21" s="292">
        <v>0</v>
      </c>
      <c r="J21" s="292"/>
      <c r="K21" s="15"/>
      <c r="L21" s="15"/>
      <c r="M21" s="226" t="s">
        <v>21</v>
      </c>
      <c r="N21" s="230">
        <f t="shared" si="1"/>
        <v>0</v>
      </c>
      <c r="O21" s="226" t="s">
        <v>19</v>
      </c>
    </row>
    <row r="22" spans="1:15" ht="21.7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9" t="s">
        <v>275</v>
      </c>
      <c r="L22" s="15"/>
      <c r="M22" s="226" t="s">
        <v>21</v>
      </c>
      <c r="N22" s="235">
        <f>ROUND(SUM(N16:N21),2)</f>
        <v>822.44</v>
      </c>
      <c r="O22" s="226" t="s">
        <v>19</v>
      </c>
    </row>
    <row r="23" spans="1:15" ht="21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6"/>
      <c r="N23" s="68"/>
      <c r="O23" s="17"/>
    </row>
    <row r="24" spans="1:15">
      <c r="A24" s="15"/>
      <c r="B24" s="18" t="s">
        <v>86</v>
      </c>
      <c r="C24" s="18"/>
      <c r="D24" s="70" t="s">
        <v>139</v>
      </c>
      <c r="E24" s="18" t="s">
        <v>276</v>
      </c>
      <c r="F24" s="18"/>
      <c r="G24" s="18"/>
      <c r="H24" s="18"/>
      <c r="I24" s="18"/>
      <c r="J24" s="18"/>
      <c r="K24" s="18"/>
      <c r="L24" s="18"/>
      <c r="M24" s="70"/>
      <c r="N24" s="236"/>
      <c r="O24" s="18"/>
    </row>
    <row r="25" spans="1:15" ht="21.75" thickBot="1">
      <c r="A25" s="15"/>
      <c r="B25" s="18"/>
      <c r="C25" s="18"/>
      <c r="D25" s="70" t="s">
        <v>139</v>
      </c>
      <c r="E25" s="295">
        <f>N13</f>
        <v>2932.12</v>
      </c>
      <c r="F25" s="296"/>
      <c r="G25" s="295">
        <f>N22</f>
        <v>822.44</v>
      </c>
      <c r="H25" s="296"/>
      <c r="I25" s="18"/>
      <c r="J25" s="18"/>
      <c r="K25" s="18"/>
      <c r="L25" s="18"/>
      <c r="M25" s="70" t="s">
        <v>139</v>
      </c>
      <c r="N25" s="237">
        <f>ROUND(E25+G25,2)</f>
        <v>3754.56</v>
      </c>
      <c r="O25" s="70" t="s">
        <v>19</v>
      </c>
    </row>
    <row r="26" spans="1:15" ht="21.75" thickTop="1">
      <c r="A26" s="15"/>
      <c r="B26" s="23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26"/>
      <c r="O26" s="68"/>
    </row>
  </sheetData>
  <mergeCells count="18">
    <mergeCell ref="I18:J18"/>
    <mergeCell ref="I19:J19"/>
    <mergeCell ref="I20:J20"/>
    <mergeCell ref="E25:F25"/>
    <mergeCell ref="G25:H25"/>
    <mergeCell ref="I21:J21"/>
    <mergeCell ref="I17:J17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6:J16"/>
  </mergeCells>
  <printOptions horizontalCentered="1"/>
  <pageMargins left="0.59055118110236227" right="0" top="0.39370078740157483" bottom="0" header="0.31496062992125984" footer="0.31496062992125984"/>
  <pageSetup paperSize="9" scale="9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"/>
  <sheetViews>
    <sheetView view="pageBreakPreview" zoomScale="90" zoomScaleNormal="100" zoomScaleSheetLayoutView="90" workbookViewId="0">
      <selection activeCell="E14" sqref="E14:F14"/>
    </sheetView>
  </sheetViews>
  <sheetFormatPr defaultRowHeight="15"/>
  <cols>
    <col min="1" max="1" width="1.375" style="84" customWidth="1"/>
    <col min="2" max="2" width="15.375" style="84" customWidth="1"/>
    <col min="3" max="3" width="19.25" style="84" customWidth="1"/>
    <col min="4" max="4" width="3.75" style="84" customWidth="1"/>
    <col min="5" max="5" width="7.875" style="84" customWidth="1"/>
    <col min="6" max="6" width="6.5" style="84" customWidth="1"/>
    <col min="7" max="7" width="6.875" style="84" customWidth="1"/>
    <col min="8" max="8" width="3" style="84" customWidth="1"/>
    <col min="9" max="9" width="6.5" style="84" customWidth="1"/>
    <col min="10" max="10" width="9" style="84"/>
    <col min="11" max="11" width="2.625" style="84" customWidth="1"/>
    <col min="12" max="12" width="5.625" style="84" customWidth="1"/>
    <col min="13" max="13" width="5.125" style="84" customWidth="1"/>
    <col min="14" max="14" width="3.875" style="84" customWidth="1"/>
    <col min="15" max="15" width="3.75" style="84" customWidth="1"/>
    <col min="16" max="16" width="10.5" style="84" customWidth="1"/>
    <col min="17" max="17" width="8.75" style="84" customWidth="1"/>
    <col min="18" max="16384" width="9" style="84"/>
  </cols>
  <sheetData>
    <row r="1" spans="1:20" ht="21">
      <c r="A1" s="78"/>
      <c r="B1" s="79" t="s">
        <v>238</v>
      </c>
      <c r="C1" s="78"/>
      <c r="D1" s="78"/>
      <c r="E1" s="78"/>
      <c r="F1" s="78"/>
      <c r="G1" s="78"/>
      <c r="H1" s="80"/>
      <c r="I1" s="79"/>
      <c r="J1" s="78"/>
      <c r="K1" s="78"/>
      <c r="L1" s="81" t="s">
        <v>131</v>
      </c>
      <c r="M1" s="112">
        <v>15</v>
      </c>
      <c r="N1" s="83" t="s">
        <v>132</v>
      </c>
      <c r="O1" s="78"/>
      <c r="P1" s="78"/>
      <c r="Q1" s="78"/>
    </row>
    <row r="2" spans="1:20" ht="21">
      <c r="A2" s="78"/>
      <c r="B2" s="78" t="s">
        <v>237</v>
      </c>
      <c r="C2" s="78"/>
      <c r="D2" s="189" t="s">
        <v>139</v>
      </c>
      <c r="E2" s="297">
        <v>2.5</v>
      </c>
      <c r="F2" s="297"/>
      <c r="G2" s="85" t="s">
        <v>133</v>
      </c>
      <c r="H2" s="297">
        <v>10</v>
      </c>
      <c r="I2" s="297"/>
      <c r="J2" s="78"/>
      <c r="K2" s="78"/>
      <c r="L2" s="81"/>
      <c r="M2" s="82"/>
      <c r="N2" s="83"/>
      <c r="O2" s="189" t="s">
        <v>80</v>
      </c>
      <c r="P2" s="114">
        <f>ROUND(E2*H2,2)</f>
        <v>25</v>
      </c>
      <c r="Q2" s="189" t="s">
        <v>22</v>
      </c>
      <c r="R2" s="168"/>
    </row>
    <row r="3" spans="1:20" ht="21">
      <c r="A3" s="78"/>
      <c r="B3" s="78" t="s">
        <v>141</v>
      </c>
      <c r="C3" s="78"/>
      <c r="D3" s="189" t="s">
        <v>139</v>
      </c>
      <c r="E3" s="297">
        <v>5</v>
      </c>
      <c r="F3" s="297"/>
      <c r="G3" s="85" t="s">
        <v>133</v>
      </c>
      <c r="H3" s="297">
        <v>167</v>
      </c>
      <c r="I3" s="297"/>
      <c r="J3" s="85" t="s">
        <v>133</v>
      </c>
      <c r="K3" s="300">
        <f>M1/100</f>
        <v>0.15</v>
      </c>
      <c r="L3" s="300"/>
      <c r="M3" s="78"/>
      <c r="N3" s="78"/>
      <c r="O3" s="189" t="s">
        <v>80</v>
      </c>
      <c r="P3" s="114">
        <f>ROUND(E3*H3*K3,2)</f>
        <v>125.25</v>
      </c>
      <c r="Q3" s="189" t="s">
        <v>20</v>
      </c>
      <c r="R3" s="168"/>
    </row>
    <row r="4" spans="1:20" ht="21">
      <c r="A4" s="78"/>
      <c r="B4" s="78" t="s">
        <v>138</v>
      </c>
      <c r="C4" s="78"/>
      <c r="D4" s="189" t="s">
        <v>139</v>
      </c>
      <c r="E4" s="304">
        <v>0</v>
      </c>
      <c r="F4" s="304"/>
      <c r="G4" s="85" t="s">
        <v>94</v>
      </c>
      <c r="H4" s="297">
        <v>5000</v>
      </c>
      <c r="I4" s="297"/>
      <c r="J4" s="78" t="s">
        <v>20</v>
      </c>
      <c r="K4" s="78"/>
      <c r="L4" s="78"/>
      <c r="M4" s="78"/>
      <c r="N4" s="78"/>
      <c r="O4" s="189" t="s">
        <v>80</v>
      </c>
      <c r="P4" s="114">
        <f>ROUND(E4/H4,2)</f>
        <v>0</v>
      </c>
      <c r="Q4" s="189" t="s">
        <v>134</v>
      </c>
    </row>
    <row r="5" spans="1:20" ht="21">
      <c r="A5" s="78"/>
      <c r="B5" s="78" t="s">
        <v>168</v>
      </c>
      <c r="C5" s="78"/>
      <c r="D5" s="189" t="s">
        <v>139</v>
      </c>
      <c r="E5" s="298">
        <f>ค่าวัสดุและดำเนินการ!K12</f>
        <v>2200</v>
      </c>
      <c r="F5" s="298"/>
      <c r="G5" s="85"/>
      <c r="H5" s="305"/>
      <c r="I5" s="305"/>
      <c r="J5" s="90"/>
      <c r="K5" s="78"/>
      <c r="L5" s="78"/>
      <c r="M5" s="78"/>
      <c r="N5" s="78"/>
      <c r="O5" s="189" t="s">
        <v>80</v>
      </c>
      <c r="P5" s="114">
        <f>ROUND(E5+H5,2)</f>
        <v>2200</v>
      </c>
      <c r="Q5" s="189" t="s">
        <v>134</v>
      </c>
    </row>
    <row r="6" spans="1:20" ht="21">
      <c r="A6" s="78"/>
      <c r="B6" s="78" t="s">
        <v>135</v>
      </c>
      <c r="C6" s="78"/>
      <c r="D6" s="78"/>
      <c r="E6" s="91"/>
      <c r="F6" s="90"/>
      <c r="G6" s="90"/>
      <c r="H6" s="91"/>
      <c r="I6" s="86"/>
      <c r="J6" s="86"/>
      <c r="K6" s="78"/>
      <c r="L6" s="78"/>
      <c r="M6" s="78"/>
      <c r="N6" s="78"/>
      <c r="O6" s="189" t="s">
        <v>80</v>
      </c>
      <c r="P6" s="174">
        <f>P2</f>
        <v>25</v>
      </c>
      <c r="Q6" s="189" t="s">
        <v>22</v>
      </c>
    </row>
    <row r="7" spans="1:20" ht="21">
      <c r="A7" s="78"/>
      <c r="B7" s="78" t="s">
        <v>140</v>
      </c>
      <c r="C7" s="78"/>
      <c r="D7" s="189" t="s">
        <v>139</v>
      </c>
      <c r="E7" s="299">
        <f>P6</f>
        <v>25</v>
      </c>
      <c r="F7" s="299"/>
      <c r="G7" s="85" t="s">
        <v>133</v>
      </c>
      <c r="H7" s="299">
        <f>M1</f>
        <v>15</v>
      </c>
      <c r="I7" s="299"/>
      <c r="J7" s="85" t="s">
        <v>142</v>
      </c>
      <c r="K7" s="78"/>
      <c r="L7" s="78"/>
      <c r="M7" s="78"/>
      <c r="N7" s="78"/>
      <c r="O7" s="189" t="s">
        <v>80</v>
      </c>
      <c r="P7" s="114">
        <f>ROUND(E7*(H7/100),2)</f>
        <v>3.75</v>
      </c>
      <c r="Q7" s="189" t="s">
        <v>20</v>
      </c>
    </row>
    <row r="8" spans="1:20" ht="21">
      <c r="A8" s="78"/>
      <c r="B8" s="78" t="s">
        <v>168</v>
      </c>
      <c r="C8" s="78"/>
      <c r="D8" s="189" t="s">
        <v>139</v>
      </c>
      <c r="E8" s="298">
        <f>P7</f>
        <v>3.75</v>
      </c>
      <c r="F8" s="298"/>
      <c r="G8" s="85" t="s">
        <v>79</v>
      </c>
      <c r="H8" s="298">
        <f>P5</f>
        <v>2200</v>
      </c>
      <c r="I8" s="298"/>
      <c r="J8" s="189" t="s">
        <v>19</v>
      </c>
      <c r="K8" s="91"/>
      <c r="L8" s="78"/>
      <c r="M8" s="78"/>
      <c r="N8" s="78"/>
      <c r="O8" s="189" t="s">
        <v>80</v>
      </c>
      <c r="P8" s="114">
        <f>ROUND(E8*H8,2)</f>
        <v>8250</v>
      </c>
      <c r="Q8" s="189" t="s">
        <v>19</v>
      </c>
    </row>
    <row r="9" spans="1:20" ht="21">
      <c r="A9" s="78"/>
      <c r="B9" s="78" t="s">
        <v>83</v>
      </c>
      <c r="C9" s="78"/>
      <c r="D9" s="189" t="s">
        <v>139</v>
      </c>
      <c r="E9" s="190">
        <v>1</v>
      </c>
      <c r="F9" s="92" t="s">
        <v>182</v>
      </c>
      <c r="G9" s="304">
        <v>0</v>
      </c>
      <c r="H9" s="304"/>
      <c r="I9" s="85" t="s">
        <v>217</v>
      </c>
      <c r="J9" s="299">
        <f>P7</f>
        <v>3.75</v>
      </c>
      <c r="K9" s="299"/>
      <c r="L9" s="189" t="s">
        <v>20</v>
      </c>
      <c r="M9" s="89"/>
      <c r="N9" s="89"/>
      <c r="O9" s="189" t="s">
        <v>80</v>
      </c>
      <c r="P9" s="114">
        <f>ROUND(E9*G9*J9,2)</f>
        <v>0</v>
      </c>
      <c r="Q9" s="189" t="s">
        <v>19</v>
      </c>
    </row>
    <row r="10" spans="1:20" ht="21">
      <c r="A10" s="78"/>
      <c r="B10" s="78" t="s">
        <v>233</v>
      </c>
      <c r="C10" s="78"/>
      <c r="D10" s="189" t="s">
        <v>139</v>
      </c>
      <c r="E10" s="301">
        <v>58</v>
      </c>
      <c r="F10" s="297"/>
      <c r="G10" s="217" t="s">
        <v>234</v>
      </c>
      <c r="H10" s="302">
        <f>ค่าวัสดุและดำเนินการ!K13</f>
        <v>25339.25</v>
      </c>
      <c r="I10" s="302"/>
      <c r="J10" s="85" t="s">
        <v>110</v>
      </c>
      <c r="K10" s="78"/>
      <c r="L10" s="85" t="s">
        <v>235</v>
      </c>
      <c r="M10" s="78"/>
      <c r="N10" s="78"/>
      <c r="O10" s="189" t="s">
        <v>80</v>
      </c>
      <c r="P10" s="114">
        <f>ROUND((H10/1000)*E10,2)</f>
        <v>1469.68</v>
      </c>
      <c r="Q10" s="189" t="s">
        <v>19</v>
      </c>
    </row>
    <row r="11" spans="1:20" ht="21">
      <c r="A11" s="78"/>
      <c r="B11" s="78" t="s">
        <v>210</v>
      </c>
      <c r="C11" s="78"/>
      <c r="D11" s="189" t="s">
        <v>139</v>
      </c>
      <c r="E11" s="298">
        <f>ROUND(E10*(25/1000),2)</f>
        <v>1.45</v>
      </c>
      <c r="F11" s="299" t="e">
        <f t="shared" ref="F11" si="0">ROUND(#REF!*#REF!,2)</f>
        <v>#REF!</v>
      </c>
      <c r="G11" s="217" t="s">
        <v>234</v>
      </c>
      <c r="H11" s="302">
        <f>ค่าวัสดุและดำเนินการ!K18</f>
        <v>67.290000000000006</v>
      </c>
      <c r="I11" s="302"/>
      <c r="J11" s="85" t="s">
        <v>239</v>
      </c>
      <c r="K11" s="78"/>
      <c r="L11" s="85"/>
      <c r="M11" s="78"/>
      <c r="N11" s="78"/>
      <c r="O11" s="189" t="s">
        <v>80</v>
      </c>
      <c r="P11" s="114">
        <f>ROUND(H11*E11,2)</f>
        <v>97.57</v>
      </c>
      <c r="Q11" s="189" t="s">
        <v>19</v>
      </c>
    </row>
    <row r="12" spans="1:20" ht="21">
      <c r="A12" s="78"/>
      <c r="B12" s="78" t="s">
        <v>136</v>
      </c>
      <c r="C12" s="78"/>
      <c r="D12" s="189" t="s">
        <v>139</v>
      </c>
      <c r="E12" s="297">
        <v>20.6</v>
      </c>
      <c r="F12" s="297"/>
      <c r="G12" s="189" t="s">
        <v>143</v>
      </c>
      <c r="H12" s="303">
        <v>10</v>
      </c>
      <c r="I12" s="303"/>
      <c r="J12" s="189" t="s">
        <v>34</v>
      </c>
      <c r="K12" s="78"/>
      <c r="L12" s="78"/>
      <c r="M12" s="189"/>
      <c r="N12" s="87"/>
      <c r="O12" s="189" t="s">
        <v>80</v>
      </c>
      <c r="P12" s="114">
        <f t="shared" ref="P12:P15" si="1">ROUND(E12*H12,2)</f>
        <v>206</v>
      </c>
      <c r="Q12" s="189" t="s">
        <v>19</v>
      </c>
      <c r="R12" s="168"/>
    </row>
    <row r="13" spans="1:20" ht="21">
      <c r="A13" s="78"/>
      <c r="B13" s="78" t="s">
        <v>236</v>
      </c>
      <c r="C13" s="78"/>
      <c r="D13" s="189" t="s">
        <v>139</v>
      </c>
      <c r="E13" s="297">
        <v>12.12</v>
      </c>
      <c r="F13" s="297"/>
      <c r="G13" s="189" t="s">
        <v>143</v>
      </c>
      <c r="H13" s="302">
        <f>P6</f>
        <v>25</v>
      </c>
      <c r="I13" s="302"/>
      <c r="J13" s="85" t="s">
        <v>22</v>
      </c>
      <c r="K13" s="78"/>
      <c r="L13" s="78"/>
      <c r="M13" s="78"/>
      <c r="N13" s="78"/>
      <c r="O13" s="189" t="s">
        <v>80</v>
      </c>
      <c r="P13" s="114">
        <f t="shared" si="1"/>
        <v>303</v>
      </c>
      <c r="Q13" s="189" t="s">
        <v>19</v>
      </c>
    </row>
    <row r="14" spans="1:20" ht="21">
      <c r="A14" s="78"/>
      <c r="B14" s="78" t="s">
        <v>137</v>
      </c>
      <c r="C14" s="78"/>
      <c r="D14" s="189" t="s">
        <v>139</v>
      </c>
      <c r="E14" s="297">
        <v>0</v>
      </c>
      <c r="F14" s="297"/>
      <c r="G14" s="189" t="s">
        <v>143</v>
      </c>
      <c r="H14" s="302">
        <f>P6</f>
        <v>25</v>
      </c>
      <c r="I14" s="302"/>
      <c r="J14" s="85" t="s">
        <v>22</v>
      </c>
      <c r="K14" s="95"/>
      <c r="L14" s="96"/>
      <c r="M14" s="96"/>
      <c r="N14" s="94"/>
      <c r="O14" s="189" t="s">
        <v>80</v>
      </c>
      <c r="P14" s="114">
        <f t="shared" si="1"/>
        <v>0</v>
      </c>
      <c r="Q14" s="189" t="s">
        <v>19</v>
      </c>
    </row>
    <row r="15" spans="1:20" ht="21">
      <c r="A15" s="78"/>
      <c r="B15" s="78" t="s">
        <v>144</v>
      </c>
      <c r="C15" s="78"/>
      <c r="D15" s="189" t="s">
        <v>139</v>
      </c>
      <c r="E15" s="297">
        <v>0</v>
      </c>
      <c r="F15" s="297"/>
      <c r="G15" s="189" t="s">
        <v>143</v>
      </c>
      <c r="H15" s="302">
        <f>P6</f>
        <v>25</v>
      </c>
      <c r="I15" s="302"/>
      <c r="J15" s="85" t="s">
        <v>22</v>
      </c>
      <c r="K15" s="95"/>
      <c r="L15" s="96"/>
      <c r="M15" s="96"/>
      <c r="N15" s="94"/>
      <c r="O15" s="189" t="s">
        <v>80</v>
      </c>
      <c r="P15" s="114">
        <f t="shared" si="1"/>
        <v>0</v>
      </c>
      <c r="Q15" s="189" t="s">
        <v>19</v>
      </c>
      <c r="T15" s="164"/>
    </row>
    <row r="16" spans="1:20" ht="21">
      <c r="A16" s="78"/>
      <c r="B16" s="78" t="s">
        <v>85</v>
      </c>
      <c r="C16" s="78"/>
      <c r="D16" s="78"/>
      <c r="E16" s="98"/>
      <c r="F16" s="78"/>
      <c r="G16" s="78"/>
      <c r="H16" s="78"/>
      <c r="I16" s="78"/>
      <c r="J16" s="78"/>
      <c r="K16" s="78"/>
      <c r="L16" s="78"/>
      <c r="M16" s="78"/>
      <c r="N16" s="78"/>
      <c r="O16" s="189" t="s">
        <v>80</v>
      </c>
      <c r="P16" s="116">
        <f>ROUND((SUM(P8:P15)),2)</f>
        <v>10326.25</v>
      </c>
      <c r="Q16" s="189" t="s">
        <v>19</v>
      </c>
    </row>
    <row r="17" spans="1:17" ht="21">
      <c r="A17" s="78"/>
      <c r="B17" s="88" t="s">
        <v>86</v>
      </c>
      <c r="C17" s="78"/>
      <c r="D17" s="189" t="s">
        <v>139</v>
      </c>
      <c r="E17" s="299">
        <f>P16</f>
        <v>10326.25</v>
      </c>
      <c r="F17" s="299"/>
      <c r="G17" s="189" t="s">
        <v>94</v>
      </c>
      <c r="H17" s="302">
        <f>P6</f>
        <v>25</v>
      </c>
      <c r="I17" s="302"/>
      <c r="J17" s="90"/>
      <c r="K17" s="78"/>
      <c r="L17" s="78"/>
      <c r="M17" s="78"/>
      <c r="N17" s="78"/>
      <c r="O17" s="189" t="s">
        <v>80</v>
      </c>
      <c r="P17" s="163">
        <f>ROUND(E17/H17,2)</f>
        <v>413.05</v>
      </c>
      <c r="Q17" s="189" t="s">
        <v>130</v>
      </c>
    </row>
    <row r="18" spans="1:17" ht="21.75" thickBot="1">
      <c r="N18" s="115" t="s">
        <v>183</v>
      </c>
      <c r="O18" s="189" t="s">
        <v>80</v>
      </c>
      <c r="P18" s="117">
        <f>ROUNDDOWN(P17,0)</f>
        <v>413</v>
      </c>
      <c r="Q18" s="189" t="s">
        <v>130</v>
      </c>
    </row>
    <row r="19" spans="1:17" ht="15.75" thickTop="1"/>
  </sheetData>
  <mergeCells count="29">
    <mergeCell ref="E2:F2"/>
    <mergeCell ref="H2:I2"/>
    <mergeCell ref="E3:F3"/>
    <mergeCell ref="H3:I3"/>
    <mergeCell ref="K3:L3"/>
    <mergeCell ref="E5:F5"/>
    <mergeCell ref="H5:I5"/>
    <mergeCell ref="E7:F7"/>
    <mergeCell ref="H7:I7"/>
    <mergeCell ref="E4:F4"/>
    <mergeCell ref="H4:I4"/>
    <mergeCell ref="E8:F8"/>
    <mergeCell ref="H8:I8"/>
    <mergeCell ref="G9:H9"/>
    <mergeCell ref="J9:K9"/>
    <mergeCell ref="E10:F10"/>
    <mergeCell ref="H10:I10"/>
    <mergeCell ref="E11:F11"/>
    <mergeCell ref="H11:I11"/>
    <mergeCell ref="E15:F15"/>
    <mergeCell ref="H15:I15"/>
    <mergeCell ref="E17:F17"/>
    <mergeCell ref="H17:I17"/>
    <mergeCell ref="E12:F12"/>
    <mergeCell ref="H12:I12"/>
    <mergeCell ref="E13:F13"/>
    <mergeCell ref="H13:I13"/>
    <mergeCell ref="E14:F14"/>
    <mergeCell ref="H14:I14"/>
  </mergeCells>
  <printOptions horizontalCentered="1"/>
  <pageMargins left="0.59055118110236227" right="0" top="0.59055118110236227" bottom="0" header="0.31496062992125984" footer="0.31496062992125984"/>
  <pageSetup paperSize="9" scale="7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Normal="100" zoomScaleSheetLayoutView="100" workbookViewId="0">
      <selection activeCell="E7" sqref="E7"/>
    </sheetView>
  </sheetViews>
  <sheetFormatPr defaultRowHeight="21"/>
  <cols>
    <col min="1" max="1" width="6.875" style="1" customWidth="1"/>
    <col min="2" max="2" width="20" style="1" customWidth="1"/>
    <col min="3" max="3" width="4.75" style="1" customWidth="1"/>
    <col min="4" max="4" width="4.125" style="1" customWidth="1"/>
    <col min="5" max="5" width="9.5" style="1" customWidth="1"/>
    <col min="6" max="10" width="11.625" style="1" customWidth="1"/>
    <col min="11" max="16384" width="9" style="1"/>
  </cols>
  <sheetData>
    <row r="1" spans="1:10">
      <c r="A1" s="18" t="s">
        <v>219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>
      <c r="A2" s="18" t="s">
        <v>145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4.25" customHeight="1">
      <c r="A3" s="308" t="s">
        <v>146</v>
      </c>
      <c r="B3" s="309"/>
      <c r="C3" s="309"/>
      <c r="D3" s="309"/>
      <c r="E3" s="309"/>
      <c r="F3" s="308" t="s">
        <v>147</v>
      </c>
      <c r="G3" s="306" t="s">
        <v>148</v>
      </c>
      <c r="H3" s="306" t="s">
        <v>149</v>
      </c>
      <c r="I3" s="306" t="s">
        <v>150</v>
      </c>
      <c r="J3" s="306" t="s">
        <v>151</v>
      </c>
    </row>
    <row r="4" spans="1:10" ht="14.25" customHeight="1">
      <c r="A4" s="310"/>
      <c r="B4" s="311"/>
      <c r="C4" s="311"/>
      <c r="D4" s="311"/>
      <c r="E4" s="311"/>
      <c r="F4" s="310"/>
      <c r="G4" s="307"/>
      <c r="H4" s="307"/>
      <c r="I4" s="307"/>
      <c r="J4" s="307"/>
    </row>
    <row r="5" spans="1:10">
      <c r="A5" s="312" t="s">
        <v>152</v>
      </c>
      <c r="B5" s="313"/>
      <c r="C5" s="313"/>
      <c r="D5" s="313"/>
      <c r="E5" s="313"/>
      <c r="F5" s="99" t="s">
        <v>153</v>
      </c>
      <c r="G5" s="99" t="s">
        <v>154</v>
      </c>
      <c r="H5" s="100" t="s">
        <v>155</v>
      </c>
      <c r="I5" s="100" t="s">
        <v>156</v>
      </c>
      <c r="J5" s="100" t="s">
        <v>157</v>
      </c>
    </row>
    <row r="6" spans="1:10">
      <c r="A6" s="101" t="s">
        <v>158</v>
      </c>
      <c r="B6" s="91"/>
      <c r="C6" s="85">
        <v>1.05</v>
      </c>
      <c r="D6" s="85" t="s">
        <v>133</v>
      </c>
      <c r="E6" s="102">
        <f>ค่าวัสดุและดำเนินการ!K19</f>
        <v>2803.74</v>
      </c>
      <c r="F6" s="103">
        <f>ROUND($E$6*$C$6*0.4,2)</f>
        <v>1177.57</v>
      </c>
      <c r="G6" s="104">
        <f>ROUND($E$6*$C$6*0.35,2)</f>
        <v>1030.3699999999999</v>
      </c>
      <c r="H6" s="104">
        <f>ROUND($E$6*$C$6*0.32,2)</f>
        <v>942.06</v>
      </c>
      <c r="I6" s="104">
        <f>ROUND($E$6*$C$6*0.29,2)</f>
        <v>853.74</v>
      </c>
      <c r="J6" s="104">
        <f>ROUND($E$6*$C$6*0.24,2)</f>
        <v>706.54</v>
      </c>
    </row>
    <row r="7" spans="1:10">
      <c r="A7" s="101" t="s">
        <v>159</v>
      </c>
      <c r="B7" s="91"/>
      <c r="C7" s="93">
        <v>1.2</v>
      </c>
      <c r="D7" s="85" t="s">
        <v>133</v>
      </c>
      <c r="E7" s="105">
        <f>ค่าวัสดุและดำเนินการ!K20</f>
        <v>516.21</v>
      </c>
      <c r="F7" s="103">
        <f>ROUND($E$7*$C$7*0.524,2)</f>
        <v>324.58999999999997</v>
      </c>
      <c r="G7" s="104">
        <f>ROUND($E$7*$C$7*0.572,2)</f>
        <v>354.33</v>
      </c>
      <c r="H7" s="104">
        <f>ROUND($E$7*$C$7*0.596,2)</f>
        <v>369.19</v>
      </c>
      <c r="I7" s="104">
        <f>ROUND($E$7*$C$7*0.62,2)</f>
        <v>384.06</v>
      </c>
      <c r="J7" s="104">
        <f>ROUND($E$7*$C$7*0.52,2)</f>
        <v>322.12</v>
      </c>
    </row>
    <row r="8" spans="1:10">
      <c r="A8" s="101" t="s">
        <v>160</v>
      </c>
      <c r="B8" s="91"/>
      <c r="C8" s="85">
        <v>1.1499999999999999</v>
      </c>
      <c r="D8" s="85" t="s">
        <v>133</v>
      </c>
      <c r="E8" s="105">
        <f>ค่าวัสดุและดำเนินการ!K21</f>
        <v>612.47</v>
      </c>
      <c r="F8" s="103">
        <f>ROUND($E$8*$C$8*0.728,2)</f>
        <v>512.76</v>
      </c>
      <c r="G8" s="104">
        <f>ROUND($E$8*$C$8*0.736,2)</f>
        <v>518.39</v>
      </c>
      <c r="H8" s="104">
        <f>ROUND($E$8*$C$8*0.764,2)</f>
        <v>538.12</v>
      </c>
      <c r="I8" s="104">
        <f>ROUND($E$8*$C$8*0.725,2)</f>
        <v>510.65</v>
      </c>
      <c r="J8" s="104">
        <f>ROUND($E$8*$C$8*0.87,2)</f>
        <v>612.78</v>
      </c>
    </row>
    <row r="9" spans="1:10">
      <c r="A9" s="101" t="s">
        <v>221</v>
      </c>
      <c r="B9" s="91"/>
      <c r="C9" s="91"/>
      <c r="D9" s="91"/>
      <c r="E9" s="85"/>
      <c r="F9" s="110"/>
      <c r="G9" s="110"/>
      <c r="H9" s="110">
        <v>398</v>
      </c>
      <c r="I9" s="110"/>
      <c r="J9" s="110">
        <v>398</v>
      </c>
    </row>
    <row r="10" spans="1:10">
      <c r="A10" s="312" t="s">
        <v>12</v>
      </c>
      <c r="B10" s="313"/>
      <c r="C10" s="313"/>
      <c r="D10" s="313"/>
      <c r="E10" s="313"/>
      <c r="F10" s="111"/>
      <c r="G10" s="111"/>
      <c r="H10" s="111">
        <f>ROUNDDOWN(SUM(H6:H9),2)</f>
        <v>2247.37</v>
      </c>
      <c r="I10" s="111"/>
      <c r="J10" s="111">
        <f>ROUNDDOWN(SUM(J6:J9),2)</f>
        <v>2039.44</v>
      </c>
    </row>
    <row r="11" spans="1:10">
      <c r="A11" s="85"/>
      <c r="B11" s="85"/>
      <c r="C11" s="85"/>
      <c r="D11" s="85"/>
      <c r="E11" s="85"/>
      <c r="F11" s="97"/>
      <c r="G11" s="97"/>
      <c r="H11" s="97"/>
      <c r="I11" s="97"/>
      <c r="J11" s="97"/>
    </row>
    <row r="12" spans="1:10">
      <c r="A12" s="85"/>
      <c r="B12" s="85"/>
      <c r="C12" s="85"/>
      <c r="D12" s="85"/>
      <c r="E12" s="85"/>
      <c r="F12" s="97"/>
      <c r="G12" s="97"/>
      <c r="H12" s="97"/>
      <c r="I12" s="97"/>
      <c r="J12" s="97"/>
    </row>
    <row r="13" spans="1:10">
      <c r="A13" s="85"/>
      <c r="B13" s="85"/>
      <c r="C13" s="85"/>
      <c r="D13" s="85"/>
      <c r="E13" s="85"/>
      <c r="F13" s="97"/>
      <c r="G13" s="97"/>
      <c r="H13" s="97"/>
      <c r="I13" s="97"/>
      <c r="J13" s="97"/>
    </row>
    <row r="14" spans="1:10">
      <c r="A14" s="85"/>
      <c r="B14" s="85"/>
      <c r="C14" s="85"/>
      <c r="D14" s="85"/>
      <c r="E14" s="85"/>
      <c r="F14" s="97"/>
      <c r="G14" s="97"/>
      <c r="H14" s="97"/>
      <c r="I14" s="97"/>
      <c r="J14" s="97"/>
    </row>
    <row r="15" spans="1:10">
      <c r="A15" s="85"/>
      <c r="B15" s="85"/>
      <c r="C15" s="85"/>
      <c r="D15" s="85"/>
      <c r="E15" s="85"/>
      <c r="F15" s="97"/>
      <c r="G15" s="97"/>
      <c r="H15" s="97"/>
      <c r="I15" s="97"/>
      <c r="J15" s="97"/>
    </row>
    <row r="16" spans="1:10">
      <c r="A16" s="85"/>
      <c r="B16" s="85"/>
      <c r="C16" s="85"/>
      <c r="D16" s="85"/>
      <c r="E16" s="85"/>
      <c r="F16" s="97"/>
      <c r="G16" s="97"/>
      <c r="H16" s="97"/>
      <c r="I16" s="97"/>
      <c r="J16" s="97"/>
    </row>
    <row r="17" spans="1:10">
      <c r="A17" s="85"/>
      <c r="B17" s="85"/>
      <c r="C17" s="85"/>
      <c r="D17" s="85"/>
      <c r="E17" s="85"/>
      <c r="F17" s="97"/>
      <c r="G17" s="97"/>
      <c r="H17" s="97"/>
      <c r="I17" s="97"/>
      <c r="J17" s="97"/>
    </row>
    <row r="18" spans="1:10">
      <c r="A18" s="85"/>
      <c r="B18" s="85"/>
      <c r="C18" s="85"/>
      <c r="D18" s="85"/>
      <c r="E18" s="85"/>
      <c r="F18" s="97"/>
      <c r="G18" s="97"/>
      <c r="H18" s="97"/>
      <c r="I18" s="97"/>
      <c r="J18" s="97"/>
    </row>
    <row r="19" spans="1:10">
      <c r="A19" s="85"/>
      <c r="B19" s="85"/>
      <c r="C19" s="85"/>
      <c r="D19" s="85"/>
      <c r="E19" s="85"/>
      <c r="F19" s="97"/>
      <c r="G19" s="97"/>
      <c r="H19" s="97"/>
      <c r="I19" s="97"/>
      <c r="J19" s="97"/>
    </row>
    <row r="20" spans="1:10">
      <c r="A20" s="85"/>
      <c r="B20" s="85"/>
      <c r="C20" s="85"/>
      <c r="D20" s="85"/>
      <c r="E20" s="85"/>
      <c r="F20" s="97"/>
      <c r="G20" s="97"/>
      <c r="H20" s="97"/>
      <c r="I20" s="97"/>
      <c r="J20" s="97"/>
    </row>
    <row r="21" spans="1:10">
      <c r="A21" s="85"/>
      <c r="B21" s="85"/>
      <c r="C21" s="85"/>
      <c r="D21" s="85"/>
      <c r="E21" s="85"/>
      <c r="F21" s="97"/>
      <c r="G21" s="97"/>
      <c r="H21" s="97"/>
      <c r="I21" s="97"/>
      <c r="J21" s="97"/>
    </row>
    <row r="22" spans="1:10">
      <c r="A22" s="85"/>
      <c r="B22" s="85"/>
      <c r="C22" s="85"/>
      <c r="D22" s="85"/>
      <c r="E22" s="85"/>
      <c r="F22" s="97"/>
      <c r="G22" s="97"/>
      <c r="H22" s="97"/>
      <c r="I22" s="97"/>
      <c r="J22" s="97"/>
    </row>
    <row r="23" spans="1:10">
      <c r="A23" s="85"/>
      <c r="B23" s="85"/>
      <c r="C23" s="85"/>
      <c r="D23" s="85"/>
      <c r="E23" s="85"/>
      <c r="F23" s="97"/>
      <c r="G23" s="97"/>
      <c r="H23" s="97"/>
      <c r="I23" s="97"/>
      <c r="J23" s="97"/>
    </row>
    <row r="24" spans="1:10">
      <c r="A24" s="85"/>
      <c r="B24" s="85"/>
      <c r="C24" s="85"/>
      <c r="D24" s="85"/>
      <c r="E24" s="85"/>
      <c r="F24" s="97"/>
      <c r="G24" s="97"/>
      <c r="H24" s="97"/>
      <c r="I24" s="97"/>
      <c r="J24" s="97"/>
    </row>
    <row r="25" spans="1:10">
      <c r="A25" s="85"/>
      <c r="B25" s="85"/>
      <c r="C25" s="85"/>
      <c r="D25" s="85"/>
      <c r="E25" s="85"/>
      <c r="F25" s="97"/>
      <c r="G25" s="97"/>
      <c r="H25" s="97"/>
      <c r="I25" s="97"/>
      <c r="J25" s="97"/>
    </row>
    <row r="26" spans="1:10">
      <c r="A26" s="85"/>
      <c r="B26" s="85"/>
      <c r="C26" s="85"/>
      <c r="D26" s="85"/>
      <c r="E26" s="85"/>
      <c r="F26" s="97"/>
      <c r="G26" s="97"/>
      <c r="H26" s="97"/>
      <c r="I26" s="97"/>
      <c r="J26" s="97"/>
    </row>
    <row r="27" spans="1:10">
      <c r="A27" s="85"/>
      <c r="B27" s="85"/>
      <c r="C27" s="85"/>
      <c r="D27" s="85"/>
      <c r="E27" s="85"/>
      <c r="F27" s="97"/>
      <c r="G27" s="97"/>
      <c r="H27" s="97"/>
      <c r="I27" s="97"/>
      <c r="J27" s="97"/>
    </row>
    <row r="28" spans="1:10">
      <c r="A28" s="85"/>
      <c r="B28" s="85"/>
      <c r="C28" s="85"/>
      <c r="D28" s="85"/>
      <c r="E28" s="85"/>
      <c r="F28" s="97"/>
      <c r="G28" s="97"/>
      <c r="H28" s="97"/>
      <c r="I28" s="97"/>
      <c r="J28" s="97"/>
    </row>
    <row r="29" spans="1:10">
      <c r="A29" s="85"/>
      <c r="B29" s="85"/>
      <c r="C29" s="85"/>
      <c r="D29" s="85"/>
      <c r="E29" s="85"/>
      <c r="F29" s="97"/>
      <c r="G29" s="97"/>
      <c r="H29" s="97"/>
      <c r="I29" s="97"/>
      <c r="J29" s="97"/>
    </row>
    <row r="30" spans="1:10">
      <c r="A30" s="85"/>
      <c r="B30" s="85"/>
      <c r="C30" s="85"/>
      <c r="D30" s="85"/>
      <c r="E30" s="85"/>
      <c r="F30" s="97"/>
      <c r="G30" s="97"/>
      <c r="H30" s="97"/>
      <c r="I30" s="97"/>
      <c r="J30" s="97"/>
    </row>
    <row r="31" spans="1:10">
      <c r="A31" s="85"/>
      <c r="B31" s="85"/>
      <c r="C31" s="85"/>
      <c r="D31" s="85"/>
      <c r="E31" s="85"/>
      <c r="F31" s="97"/>
      <c r="G31" s="97"/>
      <c r="H31" s="97"/>
      <c r="I31" s="97"/>
      <c r="J31" s="97"/>
    </row>
    <row r="32" spans="1:10">
      <c r="A32" s="85"/>
      <c r="B32" s="85"/>
      <c r="C32" s="85"/>
      <c r="D32" s="85"/>
      <c r="E32" s="85"/>
      <c r="F32" s="97"/>
      <c r="G32" s="97"/>
      <c r="H32" s="97"/>
      <c r="I32" s="97"/>
      <c r="J32" s="97"/>
    </row>
    <row r="33" spans="1:10">
      <c r="A33" s="85"/>
      <c r="B33" s="85"/>
      <c r="C33" s="85"/>
      <c r="D33" s="85"/>
      <c r="E33" s="85"/>
      <c r="F33" s="97"/>
      <c r="G33" s="97"/>
      <c r="H33" s="97"/>
      <c r="I33" s="97"/>
      <c r="J33" s="97"/>
    </row>
    <row r="34" spans="1:10">
      <c r="A34" s="85"/>
      <c r="B34" s="85"/>
      <c r="C34" s="85"/>
      <c r="D34" s="85"/>
      <c r="E34" s="85"/>
      <c r="F34" s="97"/>
      <c r="G34" s="97"/>
      <c r="H34" s="97"/>
      <c r="I34" s="97"/>
      <c r="J34" s="97"/>
    </row>
    <row r="35" spans="1:10">
      <c r="A35" s="85"/>
      <c r="B35" s="85"/>
      <c r="C35" s="85"/>
      <c r="D35" s="85"/>
      <c r="E35" s="85"/>
      <c r="F35" s="97"/>
      <c r="G35" s="97"/>
      <c r="H35" s="97"/>
      <c r="I35" s="97"/>
      <c r="J35" s="97"/>
    </row>
    <row r="36" spans="1:10">
      <c r="A36" s="85"/>
      <c r="B36" s="85"/>
      <c r="C36" s="85"/>
      <c r="D36" s="85"/>
      <c r="E36" s="85"/>
      <c r="F36" s="97"/>
      <c r="G36" s="97"/>
      <c r="H36" s="97"/>
      <c r="I36" s="97"/>
      <c r="J36" s="97"/>
    </row>
    <row r="37" spans="1:10">
      <c r="A37" s="85"/>
      <c r="B37" s="85"/>
      <c r="C37" s="85"/>
      <c r="D37" s="85"/>
      <c r="E37" s="85"/>
      <c r="F37" s="97"/>
      <c r="G37" s="97"/>
      <c r="H37" s="97"/>
      <c r="I37" s="97"/>
      <c r="J37" s="97"/>
    </row>
    <row r="38" spans="1:10">
      <c r="A38" s="85"/>
      <c r="B38" s="85"/>
      <c r="C38" s="85"/>
      <c r="D38" s="85"/>
      <c r="E38" s="85"/>
      <c r="F38" s="97"/>
      <c r="G38" s="97"/>
      <c r="H38" s="97"/>
      <c r="I38" s="97"/>
      <c r="J38" s="97"/>
    </row>
    <row r="39" spans="1:10">
      <c r="A39" s="85"/>
      <c r="B39" s="85"/>
      <c r="C39" s="85"/>
      <c r="D39" s="85"/>
      <c r="E39" s="85"/>
      <c r="F39" s="97"/>
      <c r="G39" s="97"/>
      <c r="H39" s="97"/>
      <c r="I39" s="97"/>
      <c r="J39" s="97"/>
    </row>
    <row r="40" spans="1:10">
      <c r="A40" s="85"/>
      <c r="B40" s="85"/>
      <c r="C40" s="85"/>
      <c r="D40" s="85"/>
      <c r="E40" s="85"/>
      <c r="F40" s="97"/>
      <c r="G40" s="97"/>
      <c r="H40" s="97"/>
      <c r="I40" s="97"/>
      <c r="J40" s="97"/>
    </row>
    <row r="41" spans="1:10">
      <c r="A41" s="85"/>
      <c r="B41" s="85"/>
      <c r="C41" s="85"/>
      <c r="D41" s="85"/>
      <c r="E41" s="85"/>
      <c r="F41" s="97"/>
      <c r="G41" s="97"/>
      <c r="H41" s="97"/>
      <c r="I41" s="97"/>
      <c r="J41" s="97"/>
    </row>
    <row r="42" spans="1:10">
      <c r="A42" s="85"/>
      <c r="B42" s="85"/>
      <c r="C42" s="85"/>
      <c r="D42" s="85"/>
      <c r="E42" s="85"/>
      <c r="F42" s="97"/>
      <c r="G42" s="97"/>
      <c r="H42" s="97"/>
      <c r="I42" s="97"/>
      <c r="J42" s="97"/>
    </row>
    <row r="43" spans="1:10">
      <c r="A43" s="85"/>
      <c r="B43" s="85"/>
      <c r="C43" s="85"/>
      <c r="D43" s="85"/>
      <c r="E43" s="85"/>
      <c r="F43" s="97"/>
      <c r="G43" s="97"/>
      <c r="H43" s="97"/>
      <c r="I43" s="97"/>
      <c r="J43" s="97"/>
    </row>
    <row r="44" spans="1:10">
      <c r="A44" s="85"/>
      <c r="B44" s="85"/>
      <c r="C44" s="85"/>
      <c r="D44" s="85"/>
      <c r="E44" s="85"/>
      <c r="F44" s="97"/>
      <c r="G44" s="97"/>
      <c r="H44" s="97"/>
      <c r="I44" s="97"/>
      <c r="J44" s="97"/>
    </row>
    <row r="45" spans="1:10">
      <c r="A45" s="18" t="s">
        <v>220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>
      <c r="A46" s="308" t="s">
        <v>146</v>
      </c>
      <c r="B46" s="309"/>
      <c r="C46" s="309"/>
      <c r="D46" s="309"/>
      <c r="E46" s="309"/>
      <c r="F46" s="308" t="s">
        <v>161</v>
      </c>
      <c r="G46" s="306" t="s">
        <v>162</v>
      </c>
      <c r="H46" s="306" t="s">
        <v>163</v>
      </c>
      <c r="I46" s="306" t="s">
        <v>164</v>
      </c>
      <c r="J46" s="306" t="s">
        <v>165</v>
      </c>
    </row>
    <row r="47" spans="1:10">
      <c r="A47" s="310"/>
      <c r="B47" s="311"/>
      <c r="C47" s="311"/>
      <c r="D47" s="311"/>
      <c r="E47" s="311"/>
      <c r="F47" s="310"/>
      <c r="G47" s="307"/>
      <c r="H47" s="307"/>
      <c r="I47" s="307"/>
      <c r="J47" s="307"/>
    </row>
    <row r="48" spans="1:10">
      <c r="A48" s="101" t="s">
        <v>166</v>
      </c>
      <c r="B48" s="91"/>
      <c r="C48" s="85"/>
      <c r="D48" s="85"/>
      <c r="F48" s="188"/>
      <c r="G48" s="187"/>
      <c r="H48" s="104">
        <f>ค่าวัสดุและดำเนินการ!K12</f>
        <v>2200</v>
      </c>
      <c r="I48" s="187"/>
      <c r="J48" s="187"/>
    </row>
    <row r="49" spans="1:10">
      <c r="A49" s="106" t="s">
        <v>167</v>
      </c>
      <c r="B49" s="107"/>
      <c r="C49" s="107"/>
      <c r="D49" s="107"/>
      <c r="E49" s="108"/>
      <c r="F49" s="109"/>
      <c r="G49" s="109"/>
      <c r="H49" s="110"/>
      <c r="I49" s="110"/>
      <c r="J49" s="110"/>
    </row>
    <row r="50" spans="1:10">
      <c r="A50" s="312" t="s">
        <v>12</v>
      </c>
      <c r="B50" s="313"/>
      <c r="C50" s="313"/>
      <c r="D50" s="313"/>
      <c r="E50" s="313"/>
      <c r="F50" s="103">
        <f>ROUND(SUM(F48:F49),2)</f>
        <v>0</v>
      </c>
      <c r="G50" s="103">
        <f>ROUND(SUM(G48:G49),2)</f>
        <v>0</v>
      </c>
      <c r="H50" s="103">
        <f>ROUND(SUM(H48:H49),2)</f>
        <v>2200</v>
      </c>
      <c r="I50" s="103">
        <f>ROUND(SUM(I48:I49),2)</f>
        <v>0</v>
      </c>
      <c r="J50" s="111">
        <f>ROUND(SUM(J48:J49),2)</f>
        <v>0</v>
      </c>
    </row>
  </sheetData>
  <mergeCells count="15">
    <mergeCell ref="I46:I47"/>
    <mergeCell ref="J46:J47"/>
    <mergeCell ref="A50:E50"/>
    <mergeCell ref="A5:E5"/>
    <mergeCell ref="A10:E10"/>
    <mergeCell ref="A46:E47"/>
    <mergeCell ref="F46:F47"/>
    <mergeCell ref="G46:G47"/>
    <mergeCell ref="H46:H47"/>
    <mergeCell ref="J3:J4"/>
    <mergeCell ref="A3:E4"/>
    <mergeCell ref="F3:F4"/>
    <mergeCell ref="G3:G4"/>
    <mergeCell ref="H3:H4"/>
    <mergeCell ref="I3:I4"/>
  </mergeCells>
  <printOptions horizontalCentered="1"/>
  <pageMargins left="0.59055118110236227" right="0.19685039370078741" top="0.39370078740157483" bottom="0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view="pageBreakPreview" zoomScaleSheetLayoutView="100" workbookViewId="0">
      <selection activeCell="K13" sqref="K13"/>
    </sheetView>
  </sheetViews>
  <sheetFormatPr defaultRowHeight="21"/>
  <cols>
    <col min="1" max="1" width="4.875" style="55" customWidth="1"/>
    <col min="2" max="5" width="9" style="1"/>
    <col min="6" max="6" width="2.375" style="1" customWidth="1"/>
    <col min="7" max="7" width="7.875" style="1" customWidth="1"/>
    <col min="8" max="8" width="7.25" style="1" customWidth="1"/>
    <col min="9" max="9" width="4.5" style="1" customWidth="1"/>
    <col min="10" max="10" width="3.75" style="1" customWidth="1"/>
    <col min="11" max="11" width="6.75" style="1" customWidth="1"/>
    <col min="12" max="12" width="2" style="1" customWidth="1"/>
    <col min="13" max="13" width="4" style="1" customWidth="1"/>
    <col min="14" max="14" width="10.625" style="1" customWidth="1"/>
    <col min="15" max="16384" width="9" style="1"/>
  </cols>
  <sheetData>
    <row r="1" spans="1:17">
      <c r="A1" s="71">
        <v>1</v>
      </c>
      <c r="B1" s="62" t="s">
        <v>112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68"/>
      <c r="O1" s="15"/>
    </row>
    <row r="2" spans="1:17">
      <c r="A2" s="72"/>
      <c r="B2" s="15" t="s">
        <v>242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8"/>
      <c r="O2" s="15"/>
    </row>
    <row r="3" spans="1:17">
      <c r="A3" s="72"/>
      <c r="B3" s="15" t="s">
        <v>240</v>
      </c>
      <c r="C3" s="15"/>
      <c r="D3" s="15"/>
      <c r="E3" s="15"/>
      <c r="F3" s="315">
        <v>22.3</v>
      </c>
      <c r="G3" s="315"/>
      <c r="H3" s="56" t="s">
        <v>113</v>
      </c>
      <c r="I3" s="56" t="s">
        <v>114</v>
      </c>
      <c r="J3" s="315">
        <f>ROUND(ค่าวัสดุและดำเนินการ!K16/1000,2)</f>
        <v>24.1</v>
      </c>
      <c r="K3" s="315"/>
      <c r="L3" s="15"/>
      <c r="M3" s="56" t="s">
        <v>80</v>
      </c>
      <c r="N3" s="61">
        <f>ROUND(J3*F3,2)</f>
        <v>537.42999999999995</v>
      </c>
      <c r="O3" s="15" t="s">
        <v>19</v>
      </c>
    </row>
    <row r="4" spans="1:17">
      <c r="A4" s="72"/>
      <c r="B4" s="15" t="s">
        <v>115</v>
      </c>
      <c r="C4" s="15"/>
      <c r="D4" s="15"/>
      <c r="E4" s="15"/>
      <c r="F4" s="315">
        <v>20</v>
      </c>
      <c r="G4" s="315"/>
      <c r="H4" s="56" t="s">
        <v>116</v>
      </c>
      <c r="I4" s="56" t="s">
        <v>114</v>
      </c>
      <c r="J4" s="315">
        <f>ค่าวัสดุและดำเนินการ!K31</f>
        <v>3.79</v>
      </c>
      <c r="K4" s="315"/>
      <c r="L4" s="15"/>
      <c r="M4" s="56" t="s">
        <v>80</v>
      </c>
      <c r="N4" s="61">
        <f t="shared" ref="N4:N9" si="0">ROUND(J4*F4,2)</f>
        <v>75.8</v>
      </c>
      <c r="O4" s="15" t="s">
        <v>19</v>
      </c>
      <c r="Q4" s="15"/>
    </row>
    <row r="5" spans="1:17">
      <c r="A5" s="72"/>
      <c r="B5" s="15" t="s">
        <v>243</v>
      </c>
      <c r="C5" s="15"/>
      <c r="D5" s="15"/>
      <c r="E5" s="15"/>
      <c r="F5" s="315">
        <v>1.5</v>
      </c>
      <c r="G5" s="315"/>
      <c r="H5" s="56" t="s">
        <v>22</v>
      </c>
      <c r="I5" s="56" t="s">
        <v>114</v>
      </c>
      <c r="J5" s="315">
        <f>ค่าวัสดุและดำเนินการ!K32</f>
        <v>25</v>
      </c>
      <c r="K5" s="315"/>
      <c r="L5" s="15"/>
      <c r="M5" s="56" t="s">
        <v>80</v>
      </c>
      <c r="N5" s="61">
        <f t="shared" si="0"/>
        <v>37.5</v>
      </c>
      <c r="O5" s="15" t="s">
        <v>19</v>
      </c>
      <c r="Q5" s="15"/>
    </row>
    <row r="6" spans="1:17">
      <c r="A6" s="72"/>
      <c r="B6" s="15" t="s">
        <v>117</v>
      </c>
      <c r="C6" s="15"/>
      <c r="D6" s="15"/>
      <c r="E6" s="15"/>
      <c r="F6" s="315">
        <v>12.5</v>
      </c>
      <c r="G6" s="315"/>
      <c r="H6" s="56" t="s">
        <v>118</v>
      </c>
      <c r="I6" s="56" t="s">
        <v>114</v>
      </c>
      <c r="J6" s="315">
        <f>ค่าวัสดุและดำเนินการ!K33</f>
        <v>30</v>
      </c>
      <c r="K6" s="315"/>
      <c r="L6" s="15"/>
      <c r="M6" s="56" t="s">
        <v>80</v>
      </c>
      <c r="N6" s="61">
        <f t="shared" si="0"/>
        <v>375</v>
      </c>
      <c r="O6" s="15" t="s">
        <v>19</v>
      </c>
      <c r="Q6" s="15"/>
    </row>
    <row r="7" spans="1:17">
      <c r="A7" s="72"/>
      <c r="B7" s="15" t="s">
        <v>119</v>
      </c>
      <c r="C7" s="15"/>
      <c r="D7" s="15"/>
      <c r="E7" s="15"/>
      <c r="F7" s="315">
        <v>10</v>
      </c>
      <c r="G7" s="315"/>
      <c r="H7" s="56" t="s">
        <v>120</v>
      </c>
      <c r="I7" s="56" t="s">
        <v>114</v>
      </c>
      <c r="J7" s="316">
        <v>14.55</v>
      </c>
      <c r="K7" s="316"/>
      <c r="L7" s="15"/>
      <c r="M7" s="56" t="s">
        <v>80</v>
      </c>
      <c r="N7" s="61">
        <f t="shared" si="0"/>
        <v>145.5</v>
      </c>
      <c r="O7" s="15" t="s">
        <v>19</v>
      </c>
    </row>
    <row r="8" spans="1:17">
      <c r="A8" s="72"/>
      <c r="B8" s="15" t="s">
        <v>121</v>
      </c>
      <c r="C8" s="15"/>
      <c r="D8" s="15"/>
      <c r="E8" s="15"/>
      <c r="F8" s="315">
        <v>10</v>
      </c>
      <c r="G8" s="315"/>
      <c r="H8" s="56" t="s">
        <v>120</v>
      </c>
      <c r="I8" s="56" t="s">
        <v>114</v>
      </c>
      <c r="J8" s="315">
        <f>ค่าวัสดุและดำเนินการ!K34</f>
        <v>0</v>
      </c>
      <c r="K8" s="315"/>
      <c r="L8" s="15"/>
      <c r="M8" s="56" t="s">
        <v>80</v>
      </c>
      <c r="N8" s="61">
        <f t="shared" si="0"/>
        <v>0</v>
      </c>
      <c r="O8" s="15" t="s">
        <v>19</v>
      </c>
    </row>
    <row r="9" spans="1:17">
      <c r="A9" s="72"/>
      <c r="B9" s="15" t="s">
        <v>122</v>
      </c>
      <c r="C9" s="15"/>
      <c r="D9" s="15"/>
      <c r="E9" s="15"/>
      <c r="F9" s="315">
        <v>1.5</v>
      </c>
      <c r="G9" s="315"/>
      <c r="H9" s="56" t="s">
        <v>22</v>
      </c>
      <c r="I9" s="56" t="s">
        <v>114</v>
      </c>
      <c r="J9" s="315">
        <f>แบบหล่อคอนกรีต!G24</f>
        <v>309</v>
      </c>
      <c r="K9" s="315"/>
      <c r="L9" s="15"/>
      <c r="M9" s="56" t="s">
        <v>80</v>
      </c>
      <c r="N9" s="61">
        <f t="shared" si="0"/>
        <v>463.5</v>
      </c>
      <c r="O9" s="15" t="s">
        <v>19</v>
      </c>
    </row>
    <row r="10" spans="1:17">
      <c r="A10" s="72"/>
      <c r="B10" s="15" t="s">
        <v>85</v>
      </c>
      <c r="C10" s="15"/>
      <c r="D10" s="15"/>
      <c r="E10" s="15"/>
      <c r="F10" s="73"/>
      <c r="G10" s="73"/>
      <c r="H10" s="15"/>
      <c r="I10" s="15"/>
      <c r="J10" s="74"/>
      <c r="K10" s="74"/>
      <c r="L10" s="15"/>
      <c r="M10" s="56" t="s">
        <v>80</v>
      </c>
      <c r="N10" s="75">
        <f>ROUND(SUM(N3:N9),2)</f>
        <v>1634.73</v>
      </c>
      <c r="O10" s="15" t="s">
        <v>19</v>
      </c>
    </row>
    <row r="11" spans="1:17" ht="21.75" thickBot="1">
      <c r="A11" s="72"/>
      <c r="B11" s="65" t="s">
        <v>86</v>
      </c>
      <c r="C11" s="15"/>
      <c r="D11" s="15"/>
      <c r="E11" s="15"/>
      <c r="F11" s="314">
        <f>N10</f>
        <v>1634.73</v>
      </c>
      <c r="G11" s="314"/>
      <c r="H11" s="15" t="s">
        <v>244</v>
      </c>
      <c r="I11" s="254">
        <v>10</v>
      </c>
      <c r="J11" s="254"/>
      <c r="K11" s="74"/>
      <c r="M11" s="56" t="s">
        <v>80</v>
      </c>
      <c r="N11" s="66">
        <f>ROUNDDOWN(N10/10,0)</f>
        <v>163</v>
      </c>
      <c r="O11" s="15" t="s">
        <v>111</v>
      </c>
    </row>
    <row r="12" spans="1:17" ht="21.75" thickTop="1">
      <c r="A12" s="72" t="s">
        <v>123</v>
      </c>
      <c r="B12" s="15"/>
      <c r="C12" s="15"/>
      <c r="D12" s="15"/>
      <c r="E12" s="15"/>
      <c r="F12" s="76"/>
      <c r="G12" s="76"/>
      <c r="H12" s="15"/>
      <c r="I12" s="15"/>
      <c r="J12" s="74"/>
      <c r="K12" s="74"/>
      <c r="L12" s="15"/>
      <c r="M12" s="15"/>
      <c r="N12" s="68"/>
      <c r="O12" s="15"/>
    </row>
    <row r="13" spans="1:17">
      <c r="A13" s="71">
        <v>2</v>
      </c>
      <c r="B13" s="62" t="s">
        <v>124</v>
      </c>
      <c r="C13" s="15"/>
      <c r="D13" s="15"/>
      <c r="E13" s="15"/>
      <c r="F13" s="76"/>
      <c r="G13" s="76"/>
      <c r="H13" s="15"/>
      <c r="I13" s="15"/>
      <c r="J13" s="74"/>
      <c r="K13" s="74"/>
      <c r="L13" s="15"/>
      <c r="M13" s="15"/>
      <c r="N13" s="68"/>
      <c r="O13" s="15"/>
    </row>
    <row r="14" spans="1:17">
      <c r="A14" s="72"/>
      <c r="B14" s="15" t="s">
        <v>242</v>
      </c>
      <c r="C14" s="15"/>
      <c r="D14" s="15"/>
      <c r="E14" s="15"/>
      <c r="F14" s="76"/>
      <c r="G14" s="76"/>
      <c r="H14" s="15"/>
      <c r="I14" s="15"/>
      <c r="J14" s="74"/>
      <c r="K14" s="74"/>
      <c r="L14" s="15"/>
      <c r="M14" s="15"/>
      <c r="N14" s="68"/>
      <c r="O14" s="15"/>
    </row>
    <row r="15" spans="1:17">
      <c r="A15" s="72"/>
      <c r="B15" s="15" t="s">
        <v>245</v>
      </c>
      <c r="C15" s="15"/>
      <c r="D15" s="15"/>
      <c r="E15" s="15"/>
      <c r="F15" s="315">
        <v>13.9</v>
      </c>
      <c r="G15" s="315"/>
      <c r="H15" s="56" t="s">
        <v>113</v>
      </c>
      <c r="I15" s="56" t="s">
        <v>114</v>
      </c>
      <c r="J15" s="315">
        <f>ROUND(ค่าวัสดุและดำเนินการ!K15/1000,2)</f>
        <v>24.1</v>
      </c>
      <c r="K15" s="315"/>
      <c r="L15" s="15"/>
      <c r="M15" s="56" t="s">
        <v>80</v>
      </c>
      <c r="N15" s="61">
        <f>ROUND(J15*F15,2)</f>
        <v>334.99</v>
      </c>
      <c r="O15" s="15" t="s">
        <v>19</v>
      </c>
    </row>
    <row r="16" spans="1:17">
      <c r="A16" s="72"/>
      <c r="B16" s="15" t="s">
        <v>125</v>
      </c>
      <c r="C16" s="15"/>
      <c r="D16" s="15"/>
      <c r="E16" s="15"/>
      <c r="F16" s="315">
        <v>10</v>
      </c>
      <c r="G16" s="315"/>
      <c r="H16" s="56" t="s">
        <v>120</v>
      </c>
      <c r="I16" s="56" t="s">
        <v>114</v>
      </c>
      <c r="J16" s="316">
        <v>14.55</v>
      </c>
      <c r="K16" s="316"/>
      <c r="L16" s="15"/>
      <c r="M16" s="56" t="s">
        <v>80</v>
      </c>
      <c r="N16" s="61">
        <f>ROUND(J16*F16,2)</f>
        <v>145.5</v>
      </c>
      <c r="O16" s="15" t="s">
        <v>19</v>
      </c>
    </row>
    <row r="17" spans="1:15">
      <c r="A17" s="72"/>
      <c r="B17" s="15" t="s">
        <v>126</v>
      </c>
      <c r="C17" s="15"/>
      <c r="D17" s="15"/>
      <c r="E17" s="15"/>
      <c r="F17" s="315">
        <v>20</v>
      </c>
      <c r="G17" s="315"/>
      <c r="H17" s="56" t="s">
        <v>116</v>
      </c>
      <c r="I17" s="56" t="s">
        <v>114</v>
      </c>
      <c r="J17" s="316">
        <v>0</v>
      </c>
      <c r="K17" s="316"/>
      <c r="L17" s="15"/>
      <c r="M17" s="56" t="s">
        <v>80</v>
      </c>
      <c r="N17" s="61">
        <f>ROUND(J17*F17,2)</f>
        <v>0</v>
      </c>
      <c r="O17" s="15" t="s">
        <v>19</v>
      </c>
    </row>
    <row r="18" spans="1:15">
      <c r="A18" s="72"/>
      <c r="B18" s="15" t="s">
        <v>127</v>
      </c>
      <c r="C18" s="15"/>
      <c r="D18" s="15"/>
      <c r="E18" s="15"/>
      <c r="F18" s="315">
        <v>4</v>
      </c>
      <c r="G18" s="315"/>
      <c r="H18" s="56" t="s">
        <v>118</v>
      </c>
      <c r="I18" s="56" t="s">
        <v>114</v>
      </c>
      <c r="J18" s="315">
        <f>ค่าวัสดุและดำเนินการ!K33</f>
        <v>30</v>
      </c>
      <c r="K18" s="315"/>
      <c r="L18" s="15"/>
      <c r="M18" s="56" t="s">
        <v>80</v>
      </c>
      <c r="N18" s="61">
        <f>ROUND(J18*F18,2)</f>
        <v>120</v>
      </c>
      <c r="O18" s="15" t="s">
        <v>19</v>
      </c>
    </row>
    <row r="19" spans="1:15">
      <c r="A19" s="72"/>
      <c r="B19" s="15" t="s">
        <v>121</v>
      </c>
      <c r="C19" s="15"/>
      <c r="D19" s="15"/>
      <c r="E19" s="15"/>
      <c r="F19" s="315">
        <v>10</v>
      </c>
      <c r="G19" s="315"/>
      <c r="H19" s="56" t="s">
        <v>120</v>
      </c>
      <c r="I19" s="56" t="s">
        <v>114</v>
      </c>
      <c r="J19" s="315">
        <f>ค่าวัสดุและดำเนินการ!K34</f>
        <v>0</v>
      </c>
      <c r="K19" s="315"/>
      <c r="L19" s="15"/>
      <c r="M19" s="56" t="s">
        <v>80</v>
      </c>
      <c r="N19" s="61">
        <f>ROUND(J19*F19,2)</f>
        <v>0</v>
      </c>
      <c r="O19" s="15" t="s">
        <v>19</v>
      </c>
    </row>
    <row r="20" spans="1:15">
      <c r="A20" s="72"/>
      <c r="B20" s="15" t="s">
        <v>85</v>
      </c>
      <c r="C20" s="15"/>
      <c r="D20" s="15"/>
      <c r="E20" s="15"/>
      <c r="F20" s="73"/>
      <c r="G20" s="73"/>
      <c r="H20" s="15"/>
      <c r="I20" s="15"/>
      <c r="J20" s="74"/>
      <c r="K20" s="74"/>
      <c r="L20" s="15"/>
      <c r="M20" s="56" t="s">
        <v>80</v>
      </c>
      <c r="N20" s="75">
        <f>ROUND(SUM(N15:N19),2)</f>
        <v>600.49</v>
      </c>
      <c r="O20" s="15" t="s">
        <v>19</v>
      </c>
    </row>
    <row r="21" spans="1:15" ht="21.75" thickBot="1">
      <c r="A21" s="72"/>
      <c r="B21" s="20" t="s">
        <v>86</v>
      </c>
      <c r="C21" s="15"/>
      <c r="D21" s="15"/>
      <c r="E21" s="15"/>
      <c r="F21" s="314">
        <f>N20</f>
        <v>600.49</v>
      </c>
      <c r="G21" s="314"/>
      <c r="H21" s="15" t="s">
        <v>244</v>
      </c>
      <c r="I21" s="254">
        <v>10</v>
      </c>
      <c r="J21" s="254"/>
      <c r="K21" s="74"/>
      <c r="M21" s="220" t="s">
        <v>80</v>
      </c>
      <c r="N21" s="66">
        <f>ROUNDDOWN(N20/10,0)</f>
        <v>60</v>
      </c>
      <c r="O21" s="15" t="s">
        <v>111</v>
      </c>
    </row>
    <row r="22" spans="1:15" ht="21.75" thickTop="1">
      <c r="A22" s="72" t="s">
        <v>123</v>
      </c>
      <c r="B22" s="15"/>
      <c r="C22" s="15"/>
      <c r="D22" s="15"/>
      <c r="E22" s="15"/>
      <c r="F22" s="76"/>
      <c r="G22" s="76"/>
      <c r="H22" s="15"/>
      <c r="I22" s="15"/>
      <c r="J22" s="74"/>
      <c r="K22" s="74"/>
      <c r="L22" s="15"/>
      <c r="M22" s="15"/>
      <c r="N22" s="68"/>
      <c r="O22" s="15"/>
    </row>
    <row r="23" spans="1:15">
      <c r="A23" s="71">
        <v>3</v>
      </c>
      <c r="B23" s="62" t="s">
        <v>128</v>
      </c>
      <c r="C23" s="15"/>
      <c r="D23" s="15"/>
      <c r="E23" s="15"/>
      <c r="F23" s="76"/>
      <c r="G23" s="76"/>
      <c r="H23" s="15"/>
      <c r="I23" s="15"/>
      <c r="J23" s="74"/>
      <c r="K23" s="74"/>
      <c r="L23" s="15"/>
      <c r="M23" s="15"/>
      <c r="N23" s="68"/>
      <c r="O23" s="15"/>
    </row>
    <row r="24" spans="1:15">
      <c r="A24" s="71"/>
      <c r="B24" s="15" t="s">
        <v>242</v>
      </c>
      <c r="C24" s="15"/>
      <c r="D24" s="15"/>
      <c r="E24" s="15"/>
      <c r="F24" s="76"/>
      <c r="G24" s="76"/>
      <c r="H24" s="15"/>
      <c r="I24" s="15"/>
      <c r="J24" s="74"/>
      <c r="K24" s="74"/>
      <c r="L24" s="15"/>
      <c r="M24" s="15"/>
      <c r="N24" s="68"/>
      <c r="O24" s="15"/>
    </row>
    <row r="25" spans="1:15">
      <c r="A25" s="71"/>
      <c r="B25" s="15" t="s">
        <v>241</v>
      </c>
      <c r="C25" s="15"/>
      <c r="D25" s="15"/>
      <c r="E25" s="15"/>
      <c r="F25" s="315">
        <v>15.8</v>
      </c>
      <c r="G25" s="315"/>
      <c r="H25" s="56" t="s">
        <v>113</v>
      </c>
      <c r="I25" s="56" t="s">
        <v>114</v>
      </c>
      <c r="J25" s="315">
        <f>ROUND(ค่าวัสดุและดำเนินการ!K17/1000,2)</f>
        <v>23.45</v>
      </c>
      <c r="K25" s="315"/>
      <c r="L25" s="15"/>
      <c r="M25" s="56" t="s">
        <v>80</v>
      </c>
      <c r="N25" s="61">
        <f>ROUND(J25*F25,2)</f>
        <v>370.51</v>
      </c>
      <c r="O25" s="15" t="s">
        <v>19</v>
      </c>
    </row>
    <row r="26" spans="1:15">
      <c r="A26" s="71"/>
      <c r="B26" s="15" t="s">
        <v>125</v>
      </c>
      <c r="C26" s="15"/>
      <c r="D26" s="15"/>
      <c r="E26" s="15"/>
      <c r="F26" s="315">
        <v>10</v>
      </c>
      <c r="G26" s="315"/>
      <c r="H26" s="56" t="s">
        <v>120</v>
      </c>
      <c r="I26" s="56" t="s">
        <v>114</v>
      </c>
      <c r="J26" s="316">
        <v>14.55</v>
      </c>
      <c r="K26" s="316"/>
      <c r="L26" s="15"/>
      <c r="M26" s="56" t="s">
        <v>80</v>
      </c>
      <c r="N26" s="61">
        <f>ROUND(J26*F26,2)</f>
        <v>145.5</v>
      </c>
      <c r="O26" s="15" t="s">
        <v>19</v>
      </c>
    </row>
    <row r="27" spans="1:15">
      <c r="A27" s="71"/>
      <c r="B27" s="15" t="s">
        <v>127</v>
      </c>
      <c r="C27" s="15"/>
      <c r="D27" s="15"/>
      <c r="E27" s="15"/>
      <c r="F27" s="315">
        <v>5</v>
      </c>
      <c r="G27" s="315"/>
      <c r="H27" s="56" t="s">
        <v>118</v>
      </c>
      <c r="I27" s="56" t="s">
        <v>114</v>
      </c>
      <c r="J27" s="315">
        <f>ค่าวัสดุและดำเนินการ!K33</f>
        <v>30</v>
      </c>
      <c r="K27" s="315"/>
      <c r="L27" s="15"/>
      <c r="M27" s="56" t="s">
        <v>80</v>
      </c>
      <c r="N27" s="61">
        <f>ROUND(J27*F27,2)</f>
        <v>150</v>
      </c>
      <c r="O27" s="15" t="s">
        <v>19</v>
      </c>
    </row>
    <row r="28" spans="1:15">
      <c r="A28" s="71"/>
      <c r="B28" s="15" t="s">
        <v>121</v>
      </c>
      <c r="C28" s="15"/>
      <c r="D28" s="15"/>
      <c r="E28" s="15"/>
      <c r="F28" s="315">
        <v>10</v>
      </c>
      <c r="G28" s="315"/>
      <c r="H28" s="56" t="s">
        <v>120</v>
      </c>
      <c r="I28" s="56" t="s">
        <v>114</v>
      </c>
      <c r="J28" s="315">
        <f>ค่าวัสดุและดำเนินการ!K34</f>
        <v>0</v>
      </c>
      <c r="K28" s="315"/>
      <c r="L28" s="15"/>
      <c r="M28" s="56" t="s">
        <v>80</v>
      </c>
      <c r="N28" s="61">
        <f>ROUND(J28*F28,2)</f>
        <v>0</v>
      </c>
      <c r="O28" s="15" t="s">
        <v>19</v>
      </c>
    </row>
    <row r="29" spans="1:15">
      <c r="A29" s="71"/>
      <c r="B29" s="15" t="s">
        <v>85</v>
      </c>
      <c r="C29" s="15"/>
      <c r="D29" s="15"/>
      <c r="E29" s="15"/>
      <c r="F29" s="15"/>
      <c r="G29" s="15"/>
      <c r="H29" s="15"/>
      <c r="I29" s="15"/>
      <c r="J29" s="77"/>
      <c r="K29" s="77"/>
      <c r="L29" s="15"/>
      <c r="M29" s="56" t="s">
        <v>80</v>
      </c>
      <c r="N29" s="75">
        <f>ROUND(SUM(N25:N28),2)</f>
        <v>666.01</v>
      </c>
      <c r="O29" s="15" t="s">
        <v>19</v>
      </c>
    </row>
    <row r="30" spans="1:15" ht="21.75" thickBot="1">
      <c r="A30" s="71"/>
      <c r="B30" s="20" t="s">
        <v>86</v>
      </c>
      <c r="C30" s="15"/>
      <c r="D30" s="15"/>
      <c r="E30" s="15"/>
      <c r="F30" s="314">
        <f>N29</f>
        <v>666.01</v>
      </c>
      <c r="G30" s="314"/>
      <c r="H30" s="15" t="s">
        <v>244</v>
      </c>
      <c r="I30" s="254">
        <v>10</v>
      </c>
      <c r="J30" s="254"/>
      <c r="K30" s="74"/>
      <c r="M30" s="220" t="s">
        <v>80</v>
      </c>
      <c r="N30" s="66">
        <f>ROUNDDOWN(N29/10,0)</f>
        <v>66</v>
      </c>
      <c r="O30" s="15" t="s">
        <v>111</v>
      </c>
    </row>
    <row r="31" spans="1:15" ht="21.75" thickTop="1">
      <c r="A31" s="72"/>
      <c r="B31" s="6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68"/>
      <c r="O31" s="15"/>
    </row>
  </sheetData>
  <mergeCells count="38">
    <mergeCell ref="F28:G28"/>
    <mergeCell ref="J28:K28"/>
    <mergeCell ref="F25:G25"/>
    <mergeCell ref="J25:K25"/>
    <mergeCell ref="F26:G26"/>
    <mergeCell ref="J26:K26"/>
    <mergeCell ref="F27:G27"/>
    <mergeCell ref="J27:K27"/>
    <mergeCell ref="F17:G17"/>
    <mergeCell ref="J17:K17"/>
    <mergeCell ref="F18:G18"/>
    <mergeCell ref="J18:K18"/>
    <mergeCell ref="F19:G19"/>
    <mergeCell ref="J19:K19"/>
    <mergeCell ref="F9:G9"/>
    <mergeCell ref="J9:K9"/>
    <mergeCell ref="F15:G15"/>
    <mergeCell ref="J15:K15"/>
    <mergeCell ref="F16:G16"/>
    <mergeCell ref="J16:K16"/>
    <mergeCell ref="F11:G11"/>
    <mergeCell ref="I11:J11"/>
    <mergeCell ref="F21:G21"/>
    <mergeCell ref="I21:J21"/>
    <mergeCell ref="F30:G30"/>
    <mergeCell ref="I30:J30"/>
    <mergeCell ref="F3:G3"/>
    <mergeCell ref="J3:K3"/>
    <mergeCell ref="F4:G4"/>
    <mergeCell ref="J4:K4"/>
    <mergeCell ref="F5:G5"/>
    <mergeCell ref="J5:K5"/>
    <mergeCell ref="F6:G6"/>
    <mergeCell ref="J6:K6"/>
    <mergeCell ref="F7:G7"/>
    <mergeCell ref="J7:K7"/>
    <mergeCell ref="F8:G8"/>
    <mergeCell ref="J8:K8"/>
  </mergeCells>
  <printOptions horizontalCentered="1"/>
  <pageMargins left="0.59055118110236227" right="0" top="0.59055118110236227" bottom="0" header="0.31496062992125984" footer="0.31496062992125984"/>
  <pageSetup paperSize="9" scale="90" orientation="portrait" horizontalDpi="300" verticalDpi="300" r:id="rId1"/>
  <rowBreaks count="1" manualBreakCount="1">
    <brk id="31" max="16383" man="1"/>
  </rowBreaks>
  <colBreaks count="1" manualBreakCount="1">
    <brk id="15" max="3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SheetLayoutView="100" workbookViewId="0">
      <selection activeCell="D6" sqref="D6:E6"/>
    </sheetView>
  </sheetViews>
  <sheetFormatPr defaultRowHeight="21"/>
  <cols>
    <col min="1" max="12" width="9" style="1"/>
    <col min="13" max="13" width="7.125" style="1" customWidth="1"/>
    <col min="14" max="14" width="10.375" style="1" customWidth="1"/>
    <col min="15" max="16384" width="9" style="1"/>
  </cols>
  <sheetData>
    <row r="1" spans="1:17">
      <c r="A1" s="57">
        <v>1</v>
      </c>
      <c r="B1" s="58" t="s">
        <v>76</v>
      </c>
      <c r="C1" s="14"/>
      <c r="D1" s="14"/>
      <c r="E1" s="14"/>
      <c r="F1" s="320">
        <v>0.3</v>
      </c>
      <c r="G1" s="320"/>
      <c r="H1" s="58" t="s">
        <v>77</v>
      </c>
      <c r="I1" s="14"/>
      <c r="J1" s="15"/>
      <c r="K1" s="56"/>
      <c r="L1" s="15"/>
      <c r="M1" s="15"/>
      <c r="N1" s="59"/>
      <c r="O1" s="15"/>
    </row>
    <row r="2" spans="1:17">
      <c r="A2" s="60"/>
      <c r="B2" s="15" t="s">
        <v>78</v>
      </c>
      <c r="C2" s="321">
        <v>0.25</v>
      </c>
      <c r="D2" s="321"/>
      <c r="E2" s="15" t="s">
        <v>79</v>
      </c>
      <c r="F2" s="15"/>
      <c r="G2" s="322">
        <v>21.28</v>
      </c>
      <c r="H2" s="323"/>
      <c r="I2" s="15"/>
      <c r="J2" s="15"/>
      <c r="K2" s="15"/>
      <c r="L2" s="15"/>
      <c r="M2" s="56" t="s">
        <v>80</v>
      </c>
      <c r="N2" s="61">
        <f>ROUND(G2*C2,2)</f>
        <v>5.32</v>
      </c>
      <c r="O2" s="15" t="s">
        <v>81</v>
      </c>
      <c r="Q2" s="62"/>
    </row>
    <row r="3" spans="1:17">
      <c r="A3" s="60"/>
      <c r="B3" s="15" t="s">
        <v>82</v>
      </c>
      <c r="C3" s="324">
        <f>F1</f>
        <v>0.3</v>
      </c>
      <c r="D3" s="324"/>
      <c r="E3" s="15" t="s">
        <v>216</v>
      </c>
      <c r="F3" s="15"/>
      <c r="G3" s="15"/>
      <c r="H3" s="15"/>
      <c r="I3" s="15"/>
      <c r="J3" s="15"/>
      <c r="K3" s="15"/>
      <c r="L3" s="15"/>
      <c r="M3" s="56" t="s">
        <v>80</v>
      </c>
      <c r="N3" s="63">
        <f>ค่าวัสดุและดำเนินการ!K24</f>
        <v>400</v>
      </c>
      <c r="O3" s="15" t="s">
        <v>81</v>
      </c>
    </row>
    <row r="4" spans="1:17">
      <c r="A4" s="60"/>
      <c r="B4" s="15" t="s">
        <v>83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56" t="s">
        <v>80</v>
      </c>
      <c r="N4" s="63">
        <f>L15</f>
        <v>6.25</v>
      </c>
      <c r="O4" s="15" t="s">
        <v>81</v>
      </c>
    </row>
    <row r="5" spans="1:17">
      <c r="A5" s="60"/>
      <c r="B5" s="15" t="s">
        <v>213</v>
      </c>
      <c r="C5" s="15"/>
      <c r="D5" s="326">
        <v>0</v>
      </c>
      <c r="E5" s="327"/>
      <c r="F5" s="15" t="s">
        <v>79</v>
      </c>
      <c r="G5" s="314">
        <f>ทรายหยาบรองใต้ผิวคอนกรีต!I8</f>
        <v>645</v>
      </c>
      <c r="H5" s="254"/>
      <c r="I5" s="15"/>
      <c r="J5" s="15"/>
      <c r="K5" s="15"/>
      <c r="L5" s="15"/>
      <c r="M5" s="170" t="s">
        <v>80</v>
      </c>
      <c r="N5" s="61">
        <f>ROUND(D5*G5,2)</f>
        <v>0</v>
      </c>
      <c r="O5" s="15" t="s">
        <v>81</v>
      </c>
    </row>
    <row r="6" spans="1:17">
      <c r="A6" s="60"/>
      <c r="B6" s="15" t="s">
        <v>98</v>
      </c>
      <c r="C6" s="15"/>
      <c r="D6" s="326">
        <v>0</v>
      </c>
      <c r="E6" s="327"/>
      <c r="F6" s="15" t="s">
        <v>79</v>
      </c>
      <c r="G6" s="314">
        <f>คอนกรีต!J10</f>
        <v>2039.44</v>
      </c>
      <c r="H6" s="254"/>
      <c r="I6" s="15"/>
      <c r="J6" s="15"/>
      <c r="K6" s="15"/>
      <c r="L6" s="15"/>
      <c r="M6" s="170" t="s">
        <v>80</v>
      </c>
      <c r="N6" s="61">
        <f>ROUND(D6*G6,2)</f>
        <v>0</v>
      </c>
      <c r="O6" s="15" t="s">
        <v>81</v>
      </c>
    </row>
    <row r="7" spans="1:17">
      <c r="A7" s="60"/>
      <c r="B7" s="15" t="s">
        <v>84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56" t="s">
        <v>80</v>
      </c>
      <c r="N7" s="64">
        <f>G20</f>
        <v>140</v>
      </c>
      <c r="O7" s="15" t="s">
        <v>81</v>
      </c>
    </row>
    <row r="8" spans="1:17">
      <c r="A8" s="60"/>
      <c r="B8" s="15" t="s">
        <v>85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56" t="s">
        <v>80</v>
      </c>
      <c r="N8" s="54">
        <f>ROUND(SUM(N2:N7),2)</f>
        <v>551.57000000000005</v>
      </c>
      <c r="O8" s="15" t="s">
        <v>81</v>
      </c>
    </row>
    <row r="9" spans="1:17" ht="21.75" thickBot="1">
      <c r="A9" s="60"/>
      <c r="B9" s="15"/>
      <c r="C9" s="15"/>
      <c r="D9" s="16"/>
      <c r="E9" s="16"/>
      <c r="F9" s="16"/>
      <c r="G9" s="15"/>
      <c r="H9" s="15"/>
      <c r="I9" s="15"/>
      <c r="J9" s="15"/>
      <c r="K9" s="15"/>
      <c r="L9" s="65" t="s">
        <v>86</v>
      </c>
      <c r="M9" s="56" t="s">
        <v>80</v>
      </c>
      <c r="N9" s="66">
        <f>ROUNDDOWN(N8,0)</f>
        <v>551</v>
      </c>
      <c r="O9" s="15" t="s">
        <v>81</v>
      </c>
    </row>
    <row r="10" spans="1:17" ht="21.75" thickTop="1">
      <c r="A10" s="60"/>
      <c r="B10" s="67" t="s">
        <v>13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8"/>
      <c r="O10" s="15"/>
    </row>
    <row r="11" spans="1:17">
      <c r="A11" s="60"/>
      <c r="B11" s="15" t="s">
        <v>87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8"/>
      <c r="O11" s="15"/>
    </row>
    <row r="12" spans="1:17">
      <c r="A12" s="60"/>
      <c r="B12" s="15" t="s">
        <v>88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68"/>
      <c r="O12" s="15"/>
    </row>
    <row r="13" spans="1:17">
      <c r="A13" s="60"/>
      <c r="B13" s="15" t="s">
        <v>89</v>
      </c>
      <c r="C13" s="15"/>
      <c r="D13" s="325">
        <v>0</v>
      </c>
      <c r="E13" s="325"/>
      <c r="F13" s="47" t="s">
        <v>90</v>
      </c>
      <c r="G13" s="325">
        <v>0</v>
      </c>
      <c r="H13" s="325"/>
      <c r="I13" s="17" t="s">
        <v>91</v>
      </c>
      <c r="J13" s="15"/>
      <c r="K13" s="56" t="s">
        <v>80</v>
      </c>
      <c r="L13" s="69">
        <f>(G13*13)+300</f>
        <v>300</v>
      </c>
      <c r="M13" s="15" t="s">
        <v>92</v>
      </c>
      <c r="N13" s="68"/>
      <c r="O13" s="15"/>
    </row>
    <row r="14" spans="1:17">
      <c r="A14" s="60"/>
      <c r="B14" s="15"/>
      <c r="C14" s="15"/>
      <c r="D14" s="47"/>
      <c r="E14" s="47"/>
      <c r="F14" s="47"/>
      <c r="G14" s="47"/>
      <c r="H14" s="47"/>
      <c r="I14" s="17"/>
      <c r="J14" s="15"/>
      <c r="K14" s="56"/>
      <c r="L14" s="15"/>
      <c r="M14" s="15"/>
      <c r="N14" s="68"/>
      <c r="O14" s="15"/>
    </row>
    <row r="15" spans="1:17">
      <c r="A15" s="60"/>
      <c r="B15" s="15" t="s">
        <v>93</v>
      </c>
      <c r="C15" s="15"/>
      <c r="D15" s="15"/>
      <c r="E15" s="15"/>
      <c r="F15" s="317">
        <f>+L13</f>
        <v>300</v>
      </c>
      <c r="G15" s="317"/>
      <c r="H15" s="70" t="s">
        <v>94</v>
      </c>
      <c r="I15" s="318">
        <f>D20</f>
        <v>48</v>
      </c>
      <c r="J15" s="319"/>
      <c r="K15" s="56" t="s">
        <v>80</v>
      </c>
      <c r="L15" s="61">
        <f>ROUND(F15/I15,2)</f>
        <v>6.25</v>
      </c>
      <c r="M15" s="15" t="s">
        <v>81</v>
      </c>
      <c r="N15" s="68"/>
      <c r="O15" s="15"/>
    </row>
    <row r="16" spans="1:17">
      <c r="A16" s="6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68"/>
      <c r="O16" s="15"/>
    </row>
    <row r="18" spans="2:15">
      <c r="B18" s="328" t="s">
        <v>95</v>
      </c>
      <c r="C18" s="328"/>
      <c r="D18" s="328" t="s">
        <v>96</v>
      </c>
      <c r="E18" s="328"/>
      <c r="F18" s="328"/>
      <c r="G18" s="328" t="s">
        <v>84</v>
      </c>
      <c r="H18" s="328"/>
      <c r="I18" s="328"/>
      <c r="J18" s="328" t="s">
        <v>97</v>
      </c>
      <c r="K18" s="328"/>
      <c r="L18" s="328"/>
      <c r="M18" s="328"/>
      <c r="N18" s="328" t="s">
        <v>98</v>
      </c>
      <c r="O18" s="328"/>
    </row>
    <row r="19" spans="2:15">
      <c r="B19" s="329" t="s">
        <v>99</v>
      </c>
      <c r="C19" s="329"/>
      <c r="D19" s="329" t="s">
        <v>99</v>
      </c>
      <c r="E19" s="329"/>
      <c r="F19" s="329"/>
      <c r="G19" s="329" t="s">
        <v>100</v>
      </c>
      <c r="H19" s="329"/>
      <c r="I19" s="329"/>
      <c r="J19" s="329" t="s">
        <v>101</v>
      </c>
      <c r="K19" s="329"/>
      <c r="L19" s="329"/>
      <c r="M19" s="329"/>
      <c r="N19" s="329" t="s">
        <v>101</v>
      </c>
      <c r="O19" s="329"/>
    </row>
    <row r="20" spans="2:15">
      <c r="B20" s="329" t="s">
        <v>102</v>
      </c>
      <c r="C20" s="329"/>
      <c r="D20" s="330">
        <v>48</v>
      </c>
      <c r="E20" s="330"/>
      <c r="F20" s="330"/>
      <c r="G20" s="331">
        <v>140</v>
      </c>
      <c r="H20" s="331"/>
      <c r="I20" s="331"/>
      <c r="J20" s="332">
        <v>0.126</v>
      </c>
      <c r="K20" s="332"/>
      <c r="L20" s="332"/>
      <c r="M20" s="332"/>
      <c r="N20" s="333">
        <v>0.12</v>
      </c>
      <c r="O20" s="333"/>
    </row>
    <row r="21" spans="2:15">
      <c r="B21" s="329" t="s">
        <v>103</v>
      </c>
      <c r="C21" s="329"/>
      <c r="D21" s="330">
        <v>32</v>
      </c>
      <c r="E21" s="330"/>
      <c r="F21" s="330"/>
      <c r="G21" s="331">
        <v>140</v>
      </c>
      <c r="H21" s="331"/>
      <c r="I21" s="331"/>
      <c r="J21" s="332">
        <v>0.21199999999999999</v>
      </c>
      <c r="K21" s="332"/>
      <c r="L21" s="332"/>
      <c r="M21" s="332"/>
      <c r="N21" s="333">
        <v>0.18</v>
      </c>
      <c r="O21" s="333"/>
    </row>
    <row r="22" spans="2:15">
      <c r="B22" s="329" t="s">
        <v>104</v>
      </c>
      <c r="C22" s="329"/>
      <c r="D22" s="330">
        <v>24</v>
      </c>
      <c r="E22" s="330"/>
      <c r="F22" s="330"/>
      <c r="G22" s="331">
        <v>250</v>
      </c>
      <c r="H22" s="331"/>
      <c r="I22" s="331"/>
      <c r="J22" s="332">
        <v>0.32200000000000001</v>
      </c>
      <c r="K22" s="332"/>
      <c r="L22" s="332"/>
      <c r="M22" s="332"/>
      <c r="N22" s="333">
        <v>0.25</v>
      </c>
      <c r="O22" s="333"/>
    </row>
    <row r="23" spans="2:15">
      <c r="B23" s="329" t="s">
        <v>105</v>
      </c>
      <c r="C23" s="329"/>
      <c r="D23" s="330">
        <v>24</v>
      </c>
      <c r="E23" s="330"/>
      <c r="F23" s="330"/>
      <c r="G23" s="331">
        <v>345</v>
      </c>
      <c r="H23" s="331"/>
      <c r="I23" s="331"/>
      <c r="J23" s="332">
        <v>0.442</v>
      </c>
      <c r="K23" s="332"/>
      <c r="L23" s="332"/>
      <c r="M23" s="332"/>
      <c r="N23" s="333">
        <v>0.32</v>
      </c>
      <c r="O23" s="333"/>
    </row>
    <row r="24" spans="2:15">
      <c r="B24" s="329" t="s">
        <v>106</v>
      </c>
      <c r="C24" s="329"/>
      <c r="D24" s="330">
        <v>18</v>
      </c>
      <c r="E24" s="330"/>
      <c r="F24" s="330"/>
      <c r="G24" s="331">
        <v>421</v>
      </c>
      <c r="H24" s="331"/>
      <c r="I24" s="331"/>
      <c r="J24" s="332">
        <v>0.77</v>
      </c>
      <c r="K24" s="332"/>
      <c r="L24" s="332"/>
      <c r="M24" s="332"/>
      <c r="N24" s="333">
        <v>0.5</v>
      </c>
      <c r="O24" s="333"/>
    </row>
    <row r="25" spans="2:15">
      <c r="B25" s="329" t="s">
        <v>107</v>
      </c>
      <c r="C25" s="329"/>
      <c r="D25" s="330">
        <v>10</v>
      </c>
      <c r="E25" s="330"/>
      <c r="F25" s="330"/>
      <c r="G25" s="331">
        <v>510</v>
      </c>
      <c r="H25" s="331"/>
      <c r="I25" s="331"/>
      <c r="J25" s="332">
        <v>1.169</v>
      </c>
      <c r="K25" s="332"/>
      <c r="L25" s="332"/>
      <c r="M25" s="332"/>
      <c r="N25" s="333">
        <v>0.75</v>
      </c>
      <c r="O25" s="333"/>
    </row>
    <row r="26" spans="2:15">
      <c r="B26" s="329" t="s">
        <v>108</v>
      </c>
      <c r="C26" s="329"/>
      <c r="D26" s="330">
        <v>8</v>
      </c>
      <c r="E26" s="330"/>
      <c r="F26" s="330"/>
      <c r="G26" s="331">
        <v>575</v>
      </c>
      <c r="H26" s="331"/>
      <c r="I26" s="331"/>
      <c r="J26" s="332">
        <v>1.6539999999999999</v>
      </c>
      <c r="K26" s="332"/>
      <c r="L26" s="332"/>
      <c r="M26" s="332"/>
      <c r="N26" s="333">
        <v>1</v>
      </c>
      <c r="O26" s="333"/>
    </row>
    <row r="27" spans="2:15">
      <c r="B27" s="334" t="s">
        <v>109</v>
      </c>
      <c r="C27" s="334"/>
      <c r="D27" s="335">
        <v>5</v>
      </c>
      <c r="E27" s="335"/>
      <c r="F27" s="335"/>
      <c r="G27" s="336">
        <v>638</v>
      </c>
      <c r="H27" s="336"/>
      <c r="I27" s="336"/>
      <c r="J27" s="337">
        <v>2.5419999999999998</v>
      </c>
      <c r="K27" s="337"/>
      <c r="L27" s="337"/>
      <c r="M27" s="337"/>
      <c r="N27" s="338">
        <v>1.45</v>
      </c>
      <c r="O27" s="338"/>
    </row>
  </sheetData>
  <mergeCells count="62">
    <mergeCell ref="B26:C26"/>
    <mergeCell ref="D26:F26"/>
    <mergeCell ref="G26:I26"/>
    <mergeCell ref="J26:M26"/>
    <mergeCell ref="N26:O26"/>
    <mergeCell ref="B27:C27"/>
    <mergeCell ref="D27:F27"/>
    <mergeCell ref="G27:I27"/>
    <mergeCell ref="J27:M27"/>
    <mergeCell ref="N27:O27"/>
    <mergeCell ref="B24:C24"/>
    <mergeCell ref="D24:F24"/>
    <mergeCell ref="G24:I24"/>
    <mergeCell ref="J24:M24"/>
    <mergeCell ref="N24:O24"/>
    <mergeCell ref="B25:C25"/>
    <mergeCell ref="D25:F25"/>
    <mergeCell ref="G25:I25"/>
    <mergeCell ref="J25:M25"/>
    <mergeCell ref="N25:O25"/>
    <mergeCell ref="B22:C22"/>
    <mergeCell ref="D22:F22"/>
    <mergeCell ref="G22:I22"/>
    <mergeCell ref="J22:M22"/>
    <mergeCell ref="N22:O22"/>
    <mergeCell ref="B23:C23"/>
    <mergeCell ref="D23:F23"/>
    <mergeCell ref="G23:I23"/>
    <mergeCell ref="J23:M23"/>
    <mergeCell ref="N23:O23"/>
    <mergeCell ref="B20:C20"/>
    <mergeCell ref="D20:F20"/>
    <mergeCell ref="G20:I20"/>
    <mergeCell ref="J20:M20"/>
    <mergeCell ref="N20:O20"/>
    <mergeCell ref="B21:C21"/>
    <mergeCell ref="D21:F21"/>
    <mergeCell ref="G21:I21"/>
    <mergeCell ref="J21:M21"/>
    <mergeCell ref="N21:O21"/>
    <mergeCell ref="B19:C19"/>
    <mergeCell ref="D19:F19"/>
    <mergeCell ref="G19:I19"/>
    <mergeCell ref="J19:M19"/>
    <mergeCell ref="N19:O19"/>
    <mergeCell ref="B18:C18"/>
    <mergeCell ref="D18:F18"/>
    <mergeCell ref="G18:I18"/>
    <mergeCell ref="J18:M18"/>
    <mergeCell ref="N18:O18"/>
    <mergeCell ref="F15:G15"/>
    <mergeCell ref="I15:J15"/>
    <mergeCell ref="F1:G1"/>
    <mergeCell ref="C2:D2"/>
    <mergeCell ref="G2:H2"/>
    <mergeCell ref="C3:D3"/>
    <mergeCell ref="D13:E13"/>
    <mergeCell ref="G13:H13"/>
    <mergeCell ref="D5:E5"/>
    <mergeCell ref="D6:E6"/>
    <mergeCell ref="G5:H5"/>
    <mergeCell ref="G6:H6"/>
  </mergeCells>
  <printOptions horizontalCentered="1"/>
  <pageMargins left="0.59055118110236227" right="0" top="0.59055118110236227" bottom="0" header="0.31496062992125984" footer="0.31496062992125984"/>
  <pageSetup paperSize="9" scale="66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110" zoomScaleNormal="110" zoomScaleSheetLayoutView="110" workbookViewId="0">
      <selection activeCell="J16" sqref="J16"/>
    </sheetView>
  </sheetViews>
  <sheetFormatPr defaultRowHeight="14.25"/>
  <cols>
    <col min="2" max="2" width="9.875" customWidth="1"/>
    <col min="3" max="3" width="7.25" customWidth="1"/>
    <col min="5" max="5" width="13.25" customWidth="1"/>
    <col min="6" max="6" width="8.25" customWidth="1"/>
    <col min="7" max="7" width="7" customWidth="1"/>
    <col min="8" max="8" width="3" customWidth="1"/>
    <col min="9" max="9" width="10.125" customWidth="1"/>
    <col min="10" max="10" width="12" customWidth="1"/>
  </cols>
  <sheetData>
    <row r="1" spans="1:10" ht="21">
      <c r="A1" s="113">
        <v>1</v>
      </c>
      <c r="B1" s="48" t="s">
        <v>191</v>
      </c>
      <c r="C1" s="119"/>
      <c r="D1" s="120"/>
      <c r="E1" s="50"/>
      <c r="F1" s="119"/>
      <c r="G1" s="50"/>
      <c r="H1" s="50"/>
      <c r="I1" s="121"/>
      <c r="J1" s="122"/>
    </row>
    <row r="2" spans="1:10" ht="21">
      <c r="A2" s="113"/>
      <c r="B2" s="15" t="s">
        <v>192</v>
      </c>
      <c r="C2" s="15"/>
      <c r="D2" s="15"/>
      <c r="E2" s="65"/>
      <c r="F2" s="20"/>
      <c r="G2" s="50"/>
      <c r="H2" s="50" t="s">
        <v>21</v>
      </c>
      <c r="I2" s="146">
        <f>ค่าวัสดุและดำเนินการ!K20</f>
        <v>516.21</v>
      </c>
      <c r="J2" s="122" t="s">
        <v>208</v>
      </c>
    </row>
    <row r="3" spans="1:10" ht="21">
      <c r="A3" s="113"/>
      <c r="B3" s="141" t="s">
        <v>193</v>
      </c>
      <c r="C3" s="49"/>
      <c r="D3" s="123">
        <v>0</v>
      </c>
      <c r="E3" s="51" t="s">
        <v>184</v>
      </c>
      <c r="G3" s="50"/>
      <c r="H3" s="50" t="s">
        <v>21</v>
      </c>
      <c r="I3" s="124">
        <v>0</v>
      </c>
      <c r="J3" s="122" t="s">
        <v>208</v>
      </c>
    </row>
    <row r="4" spans="1:10" ht="21">
      <c r="A4" s="113"/>
      <c r="B4" s="49" t="s">
        <v>73</v>
      </c>
      <c r="C4" s="49"/>
      <c r="D4" s="49"/>
      <c r="E4" s="50"/>
      <c r="F4" s="51"/>
      <c r="G4" s="50"/>
      <c r="H4" s="50"/>
      <c r="I4" s="144">
        <f>ROUND(SUM(I1:I3),2)</f>
        <v>516.21</v>
      </c>
      <c r="J4" s="122" t="s">
        <v>208</v>
      </c>
    </row>
    <row r="5" spans="1:10" ht="21">
      <c r="A5" s="113"/>
      <c r="B5" s="49" t="s">
        <v>209</v>
      </c>
      <c r="C5" s="49"/>
      <c r="D5" s="142">
        <f>I4</f>
        <v>516.21</v>
      </c>
      <c r="E5" s="50"/>
      <c r="F5" s="51"/>
      <c r="G5" s="50"/>
      <c r="H5" s="50" t="s">
        <v>21</v>
      </c>
      <c r="I5" s="143">
        <f>ROUND(D5*1.25,2)</f>
        <v>645.26</v>
      </c>
      <c r="J5" s="122" t="s">
        <v>134</v>
      </c>
    </row>
    <row r="6" spans="1:10" ht="21">
      <c r="A6" s="113"/>
      <c r="B6" s="15" t="s">
        <v>218</v>
      </c>
      <c r="C6" s="15"/>
      <c r="D6" s="15"/>
      <c r="E6" s="65"/>
      <c r="F6" s="20"/>
      <c r="G6" s="50"/>
      <c r="H6" s="50" t="s">
        <v>21</v>
      </c>
      <c r="I6" s="125">
        <v>0</v>
      </c>
      <c r="J6" s="122" t="s">
        <v>134</v>
      </c>
    </row>
    <row r="7" spans="1:10" ht="21">
      <c r="A7" s="113"/>
      <c r="B7" s="53" t="s">
        <v>185</v>
      </c>
      <c r="C7" s="49"/>
      <c r="D7" s="49"/>
      <c r="E7" s="50"/>
      <c r="F7" s="51"/>
      <c r="G7" s="50"/>
      <c r="H7" s="50"/>
      <c r="I7" s="54">
        <f>ROUND(SUM(I5:I6),2)</f>
        <v>645.26</v>
      </c>
      <c r="J7" s="122" t="s">
        <v>208</v>
      </c>
    </row>
    <row r="8" spans="1:10" ht="21.75" thickBot="1">
      <c r="A8" s="113"/>
      <c r="B8" s="1"/>
      <c r="C8" s="1"/>
      <c r="D8" s="1"/>
      <c r="E8" s="1"/>
      <c r="F8" s="49" t="s">
        <v>183</v>
      </c>
      <c r="G8" s="1"/>
      <c r="H8" s="1"/>
      <c r="I8" s="145">
        <f>ROUNDDOWN(I7,0)</f>
        <v>645</v>
      </c>
      <c r="J8" s="122" t="s">
        <v>208</v>
      </c>
    </row>
    <row r="9" spans="1:10" ht="15" thickTop="1"/>
    <row r="16" spans="1:10">
      <c r="J16" s="147"/>
    </row>
  </sheetData>
  <printOptions horizontalCentered="1"/>
  <pageMargins left="0.59055118110236227" right="0.19685039370078741" top="0.39370078740157483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130" zoomScaleSheetLayoutView="130" workbookViewId="0">
      <selection activeCell="C20" sqref="C20"/>
    </sheetView>
  </sheetViews>
  <sheetFormatPr defaultRowHeight="14.25"/>
  <cols>
    <col min="1" max="1" width="4.875" customWidth="1"/>
    <col min="2" max="2" width="17.25" customWidth="1"/>
    <col min="3" max="3" width="22.5" customWidth="1"/>
    <col min="4" max="4" width="5.625" customWidth="1"/>
    <col min="5" max="5" width="6.375" customWidth="1"/>
    <col min="6" max="6" width="7.25" customWidth="1"/>
  </cols>
  <sheetData>
    <row r="1" spans="1:8" ht="21">
      <c r="A1" s="7" t="s">
        <v>23</v>
      </c>
      <c r="B1" s="7"/>
      <c r="C1" s="7" t="s">
        <v>0</v>
      </c>
      <c r="D1" s="7" t="s">
        <v>24</v>
      </c>
      <c r="E1" s="7" t="s">
        <v>1</v>
      </c>
      <c r="F1" s="148" t="s">
        <v>68</v>
      </c>
      <c r="G1" s="7" t="s">
        <v>195</v>
      </c>
      <c r="H1" s="7" t="s">
        <v>13</v>
      </c>
    </row>
    <row r="2" spans="1:8" ht="21">
      <c r="A2" s="149">
        <v>1</v>
      </c>
      <c r="B2" s="39" t="s">
        <v>211</v>
      </c>
      <c r="C2" s="16"/>
      <c r="D2" s="150"/>
      <c r="E2" s="172"/>
      <c r="F2" s="151"/>
      <c r="G2" s="152"/>
      <c r="H2" s="172" t="s">
        <v>196</v>
      </c>
    </row>
    <row r="3" spans="1:8" ht="21">
      <c r="A3" s="152"/>
      <c r="B3" s="16" t="s">
        <v>198</v>
      </c>
      <c r="C3" s="16"/>
      <c r="D3" s="154">
        <v>1</v>
      </c>
      <c r="E3" s="172" t="s">
        <v>178</v>
      </c>
      <c r="F3" s="155">
        <f>ค่าวัสดุและดำเนินการ!K25</f>
        <v>696.26</v>
      </c>
      <c r="G3" s="156">
        <f>D3*F3</f>
        <v>696.26</v>
      </c>
      <c r="H3" s="172"/>
    </row>
    <row r="4" spans="1:8" ht="21">
      <c r="A4" s="152"/>
      <c r="B4" s="16" t="s">
        <v>199</v>
      </c>
      <c r="C4" s="16"/>
      <c r="D4" s="154">
        <v>0.3</v>
      </c>
      <c r="E4" s="172" t="s">
        <v>178</v>
      </c>
      <c r="F4" s="155">
        <f>ค่าวัสดุและดำเนินการ!K26</f>
        <v>582.24</v>
      </c>
      <c r="G4" s="156">
        <f>D4*F4</f>
        <v>174.672</v>
      </c>
      <c r="H4" s="153"/>
    </row>
    <row r="5" spans="1:8" ht="21">
      <c r="A5" s="152"/>
      <c r="B5" s="16" t="s">
        <v>203</v>
      </c>
      <c r="C5" s="16"/>
      <c r="D5" s="154">
        <v>0.3</v>
      </c>
      <c r="E5" s="172" t="s">
        <v>204</v>
      </c>
      <c r="F5" s="155">
        <f>ค่าวัสดุและดำเนินการ!K27</f>
        <v>0</v>
      </c>
      <c r="G5" s="156">
        <f>D5*F5</f>
        <v>0</v>
      </c>
      <c r="H5" s="153"/>
    </row>
    <row r="6" spans="1:8" ht="21">
      <c r="A6" s="152"/>
      <c r="B6" s="16" t="s">
        <v>200</v>
      </c>
      <c r="C6" s="16"/>
      <c r="D6" s="154">
        <f>D3*25%</f>
        <v>0.25</v>
      </c>
      <c r="E6" s="172" t="s">
        <v>113</v>
      </c>
      <c r="F6" s="155">
        <f>ค่าวัสดุและดำเนินการ!K28</f>
        <v>37.380000000000003</v>
      </c>
      <c r="G6" s="156">
        <f>D6*F6</f>
        <v>9.3450000000000006</v>
      </c>
      <c r="H6" s="153"/>
    </row>
    <row r="7" spans="1:8" ht="21">
      <c r="A7" s="152"/>
      <c r="B7" s="16" t="s">
        <v>205</v>
      </c>
      <c r="C7" s="16"/>
      <c r="D7" s="154">
        <v>1</v>
      </c>
      <c r="E7" s="172" t="s">
        <v>22</v>
      </c>
      <c r="F7" s="155">
        <v>0</v>
      </c>
      <c r="G7" s="156">
        <f>D7*F7</f>
        <v>0</v>
      </c>
      <c r="H7" s="153"/>
    </row>
    <row r="8" spans="1:8" ht="21">
      <c r="A8" s="152"/>
      <c r="B8" s="16"/>
      <c r="C8" s="157" t="s">
        <v>12</v>
      </c>
      <c r="D8" s="154"/>
      <c r="E8" s="172"/>
      <c r="F8" s="158" t="s">
        <v>139</v>
      </c>
      <c r="G8" s="52">
        <f>ROUND(SUM(G3:G7),2)</f>
        <v>880.28</v>
      </c>
      <c r="H8" s="153"/>
    </row>
    <row r="9" spans="1:8" ht="21">
      <c r="A9" s="152"/>
      <c r="B9" s="16"/>
      <c r="C9" s="157" t="s">
        <v>212</v>
      </c>
      <c r="D9" s="161">
        <v>1</v>
      </c>
      <c r="E9" s="172" t="s">
        <v>22</v>
      </c>
      <c r="F9" s="171" t="s">
        <v>139</v>
      </c>
      <c r="G9" s="169">
        <f>ROUND(G8/4,2)</f>
        <v>220.07</v>
      </c>
      <c r="H9" s="167"/>
    </row>
    <row r="10" spans="1:8" ht="21">
      <c r="A10" s="152"/>
      <c r="B10" s="16" t="s">
        <v>197</v>
      </c>
      <c r="C10" s="16"/>
      <c r="D10" s="154">
        <v>1</v>
      </c>
      <c r="E10" s="172" t="s">
        <v>22</v>
      </c>
      <c r="F10" s="158" t="s">
        <v>139</v>
      </c>
      <c r="G10" s="162">
        <v>133</v>
      </c>
      <c r="H10" s="153"/>
    </row>
    <row r="11" spans="1:8" ht="21.75" thickBot="1">
      <c r="A11" s="7"/>
      <c r="B11" s="7"/>
      <c r="C11" s="159" t="s">
        <v>207</v>
      </c>
      <c r="D11" s="150">
        <v>1</v>
      </c>
      <c r="E11" s="172" t="s">
        <v>22</v>
      </c>
      <c r="F11" s="158" t="s">
        <v>139</v>
      </c>
      <c r="G11" s="160">
        <f>ROUNDDOWN(G9+G10,0)</f>
        <v>353</v>
      </c>
      <c r="H11" s="153" t="s">
        <v>201</v>
      </c>
    </row>
    <row r="12" spans="1:8" ht="15" thickTop="1"/>
    <row r="14" spans="1:8" ht="21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48" t="s">
        <v>68</v>
      </c>
      <c r="G14" s="7" t="s">
        <v>195</v>
      </c>
      <c r="H14" s="7" t="s">
        <v>13</v>
      </c>
    </row>
    <row r="15" spans="1:8" ht="21">
      <c r="A15" s="149">
        <v>2</v>
      </c>
      <c r="B15" s="39" t="s">
        <v>202</v>
      </c>
      <c r="C15" s="16"/>
      <c r="D15" s="150"/>
      <c r="E15" s="118"/>
      <c r="F15" s="151"/>
      <c r="G15" s="152"/>
      <c r="H15" s="118" t="s">
        <v>196</v>
      </c>
    </row>
    <row r="16" spans="1:8" ht="21">
      <c r="A16" s="152"/>
      <c r="B16" s="16" t="s">
        <v>198</v>
      </c>
      <c r="C16" s="16"/>
      <c r="D16" s="154">
        <v>1</v>
      </c>
      <c r="E16" s="118" t="s">
        <v>178</v>
      </c>
      <c r="F16" s="155">
        <f>ค่าวัสดุและดำเนินการ!K25</f>
        <v>696.26</v>
      </c>
      <c r="G16" s="156">
        <f>D16*F16</f>
        <v>696.26</v>
      </c>
      <c r="H16" s="118"/>
    </row>
    <row r="17" spans="1:8" ht="21">
      <c r="A17" s="152"/>
      <c r="B17" s="16" t="s">
        <v>199</v>
      </c>
      <c r="C17" s="16"/>
      <c r="D17" s="154">
        <v>0.3</v>
      </c>
      <c r="E17" s="118" t="s">
        <v>178</v>
      </c>
      <c r="F17" s="155">
        <f>ค่าวัสดุและดำเนินการ!K26</f>
        <v>582.24</v>
      </c>
      <c r="G17" s="156">
        <f>D17*F17</f>
        <v>174.672</v>
      </c>
      <c r="H17" s="153"/>
    </row>
    <row r="18" spans="1:8" ht="21">
      <c r="A18" s="152"/>
      <c r="B18" s="16" t="s">
        <v>203</v>
      </c>
      <c r="C18" s="16"/>
      <c r="D18" s="154">
        <v>0.3</v>
      </c>
      <c r="E18" s="118" t="s">
        <v>204</v>
      </c>
      <c r="F18" s="155">
        <f>ค่าวัสดุและดำเนินการ!K27</f>
        <v>0</v>
      </c>
      <c r="G18" s="156">
        <f>D18*F18</f>
        <v>0</v>
      </c>
      <c r="H18" s="153"/>
    </row>
    <row r="19" spans="1:8" ht="21">
      <c r="A19" s="152"/>
      <c r="B19" s="16" t="s">
        <v>200</v>
      </c>
      <c r="C19" s="16"/>
      <c r="D19" s="154">
        <f>D16*25%</f>
        <v>0.25</v>
      </c>
      <c r="E19" s="118" t="s">
        <v>113</v>
      </c>
      <c r="F19" s="155">
        <f>ค่าวัสดุและดำเนินการ!K28</f>
        <v>37.380000000000003</v>
      </c>
      <c r="G19" s="156">
        <f>D19*F19</f>
        <v>9.3450000000000006</v>
      </c>
      <c r="H19" s="153"/>
    </row>
    <row r="20" spans="1:8" ht="21">
      <c r="A20" s="152"/>
      <c r="B20" s="16" t="s">
        <v>205</v>
      </c>
      <c r="C20" s="16"/>
      <c r="D20" s="154">
        <v>1</v>
      </c>
      <c r="E20" s="118" t="s">
        <v>22</v>
      </c>
      <c r="F20" s="155">
        <v>0</v>
      </c>
      <c r="G20" s="156">
        <f>D20*F20</f>
        <v>0</v>
      </c>
      <c r="H20" s="153"/>
    </row>
    <row r="21" spans="1:8" ht="21">
      <c r="A21" s="152"/>
      <c r="B21" s="16"/>
      <c r="C21" s="157" t="s">
        <v>12</v>
      </c>
      <c r="D21" s="154"/>
      <c r="E21" s="118"/>
      <c r="F21" s="158" t="s">
        <v>139</v>
      </c>
      <c r="G21" s="52">
        <f>ROUND(SUM(G16:G20),2)</f>
        <v>880.28</v>
      </c>
      <c r="H21" s="153"/>
    </row>
    <row r="22" spans="1:8" ht="21">
      <c r="A22" s="152"/>
      <c r="B22" s="16"/>
      <c r="C22" s="157" t="s">
        <v>206</v>
      </c>
      <c r="D22" s="161">
        <v>1</v>
      </c>
      <c r="E22" s="165" t="s">
        <v>22</v>
      </c>
      <c r="F22" s="166" t="s">
        <v>139</v>
      </c>
      <c r="G22" s="169">
        <f>ROUND(G21/5,2)</f>
        <v>176.06</v>
      </c>
      <c r="H22" s="167"/>
    </row>
    <row r="23" spans="1:8" ht="21">
      <c r="A23" s="152"/>
      <c r="B23" s="16" t="s">
        <v>197</v>
      </c>
      <c r="C23" s="16"/>
      <c r="D23" s="154">
        <v>1</v>
      </c>
      <c r="E23" s="118" t="s">
        <v>22</v>
      </c>
      <c r="F23" s="158" t="s">
        <v>139</v>
      </c>
      <c r="G23" s="162">
        <v>133</v>
      </c>
      <c r="H23" s="153"/>
    </row>
    <row r="24" spans="1:8" ht="21.75" thickBot="1">
      <c r="A24" s="7"/>
      <c r="B24" s="7"/>
      <c r="C24" s="159" t="s">
        <v>207</v>
      </c>
      <c r="D24" s="150">
        <v>1</v>
      </c>
      <c r="E24" s="118" t="s">
        <v>22</v>
      </c>
      <c r="F24" s="158" t="s">
        <v>139</v>
      </c>
      <c r="G24" s="160">
        <f>ROUNDDOWN(G22+G23,0)</f>
        <v>309</v>
      </c>
      <c r="H24" s="153" t="s">
        <v>201</v>
      </c>
    </row>
    <row r="25" spans="1:8" ht="15" thickTop="1"/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11</vt:i4>
      </vt:variant>
    </vt:vector>
  </HeadingPairs>
  <TitlesOfParts>
    <vt:vector size="21" baseType="lpstr">
      <vt:lpstr>แบบสรุปราคากลาง</vt:lpstr>
      <vt:lpstr>ค่าวัสดุและดำเนินการ</vt:lpstr>
      <vt:lpstr>บ่อพักน้ำ</vt:lpstr>
      <vt:lpstr>ผิวทางคอนกรีตผสมเสร็จ</vt:lpstr>
      <vt:lpstr>คอนกรีต</vt:lpstr>
      <vt:lpstr>รอยต่อ</vt:lpstr>
      <vt:lpstr>ท่อ</vt:lpstr>
      <vt:lpstr>ทรายหยาบรองใต้ผิวคอนกรีต</vt:lpstr>
      <vt:lpstr>แบบหล่อคอนกรีต</vt:lpstr>
      <vt:lpstr>เสนอราคา</vt:lpstr>
      <vt:lpstr>คอนกรีต!Print_Area</vt:lpstr>
      <vt:lpstr>ค่าวัสดุและดำเนินการ!Print_Area</vt:lpstr>
      <vt:lpstr>ทรายหยาบรองใต้ผิวคอนกรีต!Print_Area</vt:lpstr>
      <vt:lpstr>ท่อ!Print_Area</vt:lpstr>
      <vt:lpstr>บ่อพักน้ำ!Print_Area</vt:lpstr>
      <vt:lpstr>แบบสรุปราคากลาง!Print_Area</vt:lpstr>
      <vt:lpstr>แบบหล่อคอนกรีต!Print_Area</vt:lpstr>
      <vt:lpstr>ผิวทางคอนกรีตผสมเสร็จ!Print_Area</vt:lpstr>
      <vt:lpstr>รอยต่อ!Print_Area</vt:lpstr>
      <vt:lpstr>เสนอราคา!Print_Area</vt:lpstr>
      <vt:lpstr>แบบสรุปราคากลาง!Print_Titles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pg-pc</dc:creator>
  <cp:lastModifiedBy>P'G</cp:lastModifiedBy>
  <cp:lastPrinted>2018-08-30T08:43:33Z</cp:lastPrinted>
  <dcterms:created xsi:type="dcterms:W3CDTF">2017-05-01T02:16:56Z</dcterms:created>
  <dcterms:modified xsi:type="dcterms:W3CDTF">2018-09-14T03:39:28Z</dcterms:modified>
</cp:coreProperties>
</file>